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bunggruppe.sharepoint.com/sites/BUNG-BBM-Kassel/Freigegebene Dokumente/General/B289 TU Kauerndorf/Unterlagen/U01.03_Bieterangaben/03_Robustheit/"/>
    </mc:Choice>
  </mc:AlternateContent>
  <xr:revisionPtr revIDLastSave="9" documentId="8_{0B16B41F-B5D2-4361-AF1A-CF1125C5D711}" xr6:coauthVersionLast="47" xr6:coauthVersionMax="47" xr10:uidLastSave="{7E26D210-5EE8-42D4-B080-B46159E4C218}"/>
  <bookViews>
    <workbookView xWindow="30600" yWindow="-120" windowWidth="30960" windowHeight="16800" tabRatio="587" firstSheet="1" activeTab="6" xr2:uid="{00000000-000D-0000-FFFF-FFFF00000000}"/>
  </bookViews>
  <sheets>
    <sheet name="1.3-10 Allgemeines" sheetId="47" r:id="rId1"/>
    <sheet name="1.3-11 Länge Wertung" sheetId="48" r:id="rId2"/>
    <sheet name="1.3-12 Kalotte HR Kosten" sheetId="34" r:id="rId3"/>
    <sheet name="1.3-13 Str_So HR Kosten" sheetId="40" r:id="rId4"/>
    <sheet name="1.3-14 Preis je lfdm" sheetId="51" r:id="rId5"/>
    <sheet name="1.3-15 Wertungssummen" sheetId="50" r:id="rId6"/>
    <sheet name="1.3-16 Wertungspunkte" sheetId="49" r:id="rId7"/>
  </sheets>
  <definedNames>
    <definedName name="_xlnm.Print_Area" localSheetId="0">'1.3-10 Allgemeines'!$A$1:$F$15</definedName>
    <definedName name="_xlnm.Print_Area" localSheetId="1">'1.3-11 Länge Wertung'!$A$1:$O$10</definedName>
    <definedName name="_xlnm.Print_Area" localSheetId="2">'1.3-12 Kalotte HR Kosten'!$A$2:$L$135</definedName>
    <definedName name="_xlnm.Print_Area" localSheetId="3">'1.3-13 Str_So HR Kosten'!$A$1:$L$110</definedName>
    <definedName name="_xlnm.Print_Area" localSheetId="4">'1.3-14 Preis je lfdm'!$A$1:$M$19</definedName>
    <definedName name="_xlnm.Print_Area" localSheetId="5">'1.3-15 Wertungssummen'!$A$1:$I$52</definedName>
    <definedName name="_xlnm.Print_Area" localSheetId="6">'1.3-16 Wertungspunkte'!$A$1:$F$36</definedName>
    <definedName name="_xlnm.Print_Titles" localSheetId="2">'1.3-12 Kalotte HR Kosten'!$2:$3</definedName>
    <definedName name="_xlnm.Print_Titles" localSheetId="3">'1.3-13 Str_So HR Kosten'!$2:$3</definedName>
    <definedName name="Print_Area" localSheetId="2">'1.3-12 Kalotte HR Kosten'!$A$1:$L$134</definedName>
    <definedName name="Print_Area" localSheetId="3">'1.3-13 Str_So HR Kosten'!$A$1:$L$109</definedName>
    <definedName name="Print_Titles" localSheetId="2">'1.3-12 Kalotte HR Kosten'!$2:$3</definedName>
    <definedName name="Print_Titles" localSheetId="3">'1.3-13 Str_So HR Kosten'!$2:$3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49" l="1"/>
  <c r="H21" i="49"/>
  <c r="H22" i="49"/>
  <c r="I16" i="34"/>
  <c r="F106" i="40"/>
  <c r="F92" i="40"/>
  <c r="F78" i="40"/>
  <c r="F65" i="40"/>
  <c r="F51" i="40"/>
  <c r="F38" i="40"/>
  <c r="I13" i="40"/>
  <c r="F25" i="40"/>
  <c r="F12" i="40"/>
  <c r="F24" i="40" s="1"/>
  <c r="H12" i="40"/>
  <c r="F61" i="34"/>
  <c r="F131" i="34"/>
  <c r="F130" i="34"/>
  <c r="F119" i="34"/>
  <c r="F118" i="34"/>
  <c r="F101" i="34"/>
  <c r="F100" i="34"/>
  <c r="F90" i="34"/>
  <c r="F89" i="34"/>
  <c r="F72" i="34"/>
  <c r="F71" i="34"/>
  <c r="F60" i="34"/>
  <c r="F42" i="34"/>
  <c r="F41" i="34"/>
  <c r="F31" i="34"/>
  <c r="F30" i="34"/>
  <c r="I15" i="34"/>
  <c r="H100" i="40"/>
  <c r="H99" i="40"/>
  <c r="H72" i="40"/>
  <c r="H71" i="40"/>
  <c r="H70" i="40"/>
  <c r="H62" i="40"/>
  <c r="H61" i="40"/>
  <c r="H58" i="40"/>
  <c r="F75" i="40"/>
  <c r="F74" i="40"/>
  <c r="E73" i="40"/>
  <c r="F73" i="40" s="1"/>
  <c r="F70" i="40"/>
  <c r="F69" i="40"/>
  <c r="F68" i="40"/>
  <c r="E72" i="40"/>
  <c r="F72" i="40" s="1"/>
  <c r="E71" i="40"/>
  <c r="F71" i="40" s="1"/>
  <c r="F81" i="40"/>
  <c r="F82" i="40"/>
  <c r="F83" i="40"/>
  <c r="F84" i="40"/>
  <c r="F88" i="40"/>
  <c r="F89" i="40"/>
  <c r="E86" i="40"/>
  <c r="F86" i="40" s="1"/>
  <c r="E87" i="40"/>
  <c r="F87" i="40" s="1"/>
  <c r="E85" i="40"/>
  <c r="F85" i="40" s="1"/>
  <c r="F102" i="40"/>
  <c r="F103" i="40"/>
  <c r="F98" i="40"/>
  <c r="F97" i="40"/>
  <c r="E60" i="40"/>
  <c r="E59" i="40"/>
  <c r="E101" i="40"/>
  <c r="F101" i="40" s="1"/>
  <c r="E58" i="40"/>
  <c r="E100" i="40"/>
  <c r="F100" i="40" s="1"/>
  <c r="E99" i="40"/>
  <c r="F99" i="40" s="1"/>
  <c r="E46" i="40"/>
  <c r="H45" i="40"/>
  <c r="H44" i="40"/>
  <c r="E45" i="40"/>
  <c r="E44" i="40"/>
  <c r="E35" i="40"/>
  <c r="E33" i="40"/>
  <c r="E32" i="40"/>
  <c r="H32" i="40"/>
  <c r="E31" i="40"/>
  <c r="E28" i="40"/>
  <c r="E126" i="34"/>
  <c r="E125" i="34"/>
  <c r="E114" i="34"/>
  <c r="E111" i="34"/>
  <c r="E20" i="40"/>
  <c r="E19" i="40"/>
  <c r="E109" i="34"/>
  <c r="E108" i="34"/>
  <c r="E18" i="40"/>
  <c r="E96" i="34"/>
  <c r="E95" i="34"/>
  <c r="E93" i="34"/>
  <c r="E85" i="34"/>
  <c r="E82" i="34"/>
  <c r="E80" i="34"/>
  <c r="E79" i="34"/>
  <c r="E67" i="34"/>
  <c r="E66" i="34"/>
  <c r="E57" i="34"/>
  <c r="E56" i="34"/>
  <c r="E53" i="34"/>
  <c r="E51" i="34"/>
  <c r="E50" i="34"/>
  <c r="E37" i="34"/>
  <c r="E36" i="34"/>
  <c r="E26" i="34"/>
  <c r="E24" i="34"/>
  <c r="E23" i="34"/>
  <c r="E11" i="34"/>
  <c r="E9" i="34"/>
  <c r="E8" i="40"/>
  <c r="E8" i="34"/>
  <c r="E7" i="40"/>
  <c r="E6" i="40"/>
  <c r="F105" i="40" l="1"/>
  <c r="I12" i="40"/>
  <c r="F91" i="40"/>
  <c r="F77" i="40"/>
  <c r="F64" i="40"/>
  <c r="F50" i="40"/>
  <c r="F37" i="40"/>
  <c r="H60" i="40"/>
  <c r="H57" i="40"/>
  <c r="H48" i="40"/>
  <c r="H47" i="40"/>
  <c r="I105" i="40" l="1"/>
  <c r="H106" i="40"/>
  <c r="I106" i="40" s="1"/>
  <c r="H105" i="40"/>
  <c r="H92" i="40"/>
  <c r="I92" i="40" s="1"/>
  <c r="H91" i="40"/>
  <c r="I91" i="40" s="1"/>
  <c r="H78" i="40"/>
  <c r="I78" i="40" s="1"/>
  <c r="H77" i="40"/>
  <c r="I77" i="40" s="1"/>
  <c r="H65" i="40"/>
  <c r="I65" i="40" s="1"/>
  <c r="H64" i="40"/>
  <c r="I64" i="40" s="1"/>
  <c r="H51" i="40"/>
  <c r="I51" i="40" s="1"/>
  <c r="H50" i="40"/>
  <c r="I50" i="40" s="1"/>
  <c r="H38" i="40"/>
  <c r="I38" i="40" s="1"/>
  <c r="H37" i="40"/>
  <c r="I37" i="40" s="1"/>
  <c r="H25" i="40"/>
  <c r="I25" i="40" s="1"/>
  <c r="H24" i="40"/>
  <c r="I24" i="40" s="1"/>
  <c r="H7" i="40"/>
  <c r="H124" i="34"/>
  <c r="H69" i="34"/>
  <c r="H68" i="34"/>
  <c r="H66" i="34"/>
  <c r="H67" i="34" s="1"/>
  <c r="H39" i="34"/>
  <c r="H9" i="34"/>
  <c r="C46" i="50"/>
  <c r="F46" i="50"/>
  <c r="C37" i="50"/>
  <c r="C27" i="50"/>
  <c r="E8" i="50"/>
  <c r="E7" i="50"/>
  <c r="E6" i="50"/>
  <c r="E5" i="50"/>
  <c r="E4" i="50"/>
  <c r="C18" i="50"/>
  <c r="F17" i="50"/>
  <c r="F16" i="50"/>
  <c r="F15" i="50"/>
  <c r="F13" i="50"/>
  <c r="F6" i="50"/>
  <c r="F7" i="50"/>
  <c r="F8" i="50"/>
  <c r="F5" i="50"/>
  <c r="N4" i="48"/>
  <c r="F8" i="48"/>
  <c r="F7" i="48"/>
  <c r="F6" i="48"/>
  <c r="M5" i="48"/>
  <c r="N5" i="48" s="1"/>
  <c r="K5" i="48"/>
  <c r="L5" i="48" s="1"/>
  <c r="G8" i="48"/>
  <c r="G7" i="48"/>
  <c r="G6" i="48"/>
  <c r="H9" i="48"/>
  <c r="F9" i="48"/>
  <c r="E8" i="48"/>
  <c r="E7" i="48"/>
  <c r="E6" i="48"/>
  <c r="N8" i="48"/>
  <c r="L7" i="48"/>
  <c r="K10" i="51"/>
  <c r="J10" i="51"/>
  <c r="K9" i="51"/>
  <c r="K8" i="51"/>
  <c r="J8" i="51"/>
  <c r="K7" i="51"/>
  <c r="K6" i="51"/>
  <c r="K5" i="51"/>
  <c r="J6" i="51"/>
  <c r="F37" i="50" l="1"/>
  <c r="F18" i="50"/>
  <c r="F27" i="50"/>
  <c r="M6" i="48"/>
  <c r="K6" i="48"/>
  <c r="K8" i="48" s="1"/>
  <c r="L8" i="48" s="1"/>
  <c r="L6" i="48"/>
  <c r="H54" i="34"/>
  <c r="H52" i="34"/>
  <c r="H51" i="34"/>
  <c r="H50" i="34"/>
  <c r="H47" i="34"/>
  <c r="H38" i="34"/>
  <c r="H37" i="34"/>
  <c r="H36" i="34"/>
  <c r="H20" i="34"/>
  <c r="G13" i="51"/>
  <c r="N6" i="48" l="1"/>
  <c r="M7" i="48"/>
  <c r="N7" i="48" s="1"/>
  <c r="H131" i="34"/>
  <c r="I131" i="34" s="1"/>
  <c r="H130" i="34"/>
  <c r="I130" i="34" s="1"/>
  <c r="H119" i="34"/>
  <c r="I119" i="34" s="1"/>
  <c r="H118" i="34"/>
  <c r="I118" i="34" s="1"/>
  <c r="H101" i="34"/>
  <c r="I101" i="34" s="1"/>
  <c r="H100" i="34"/>
  <c r="I100" i="34" s="1"/>
  <c r="H90" i="34"/>
  <c r="I90" i="34" s="1"/>
  <c r="H89" i="34"/>
  <c r="I89" i="34" s="1"/>
  <c r="H72" i="34"/>
  <c r="I72" i="34" s="1"/>
  <c r="H71" i="34"/>
  <c r="I71" i="34" s="1"/>
  <c r="H61" i="34"/>
  <c r="I61" i="34" s="1"/>
  <c r="H60" i="34"/>
  <c r="I60" i="34" s="1"/>
  <c r="H42" i="34"/>
  <c r="I42" i="34" s="1"/>
  <c r="H41" i="34"/>
  <c r="I41" i="34" s="1"/>
  <c r="H31" i="34"/>
  <c r="I31" i="34" s="1"/>
  <c r="H30" i="34"/>
  <c r="I30" i="34" s="1"/>
  <c r="C13" i="51"/>
  <c r="C9" i="48"/>
  <c r="C9" i="50"/>
  <c r="N9" i="48" l="1"/>
  <c r="L4" i="48" l="1"/>
  <c r="J4" i="48"/>
  <c r="I5" i="48"/>
  <c r="F4" i="48"/>
  <c r="F4" i="50" s="1"/>
  <c r="F5" i="48"/>
  <c r="I7" i="48" l="1"/>
  <c r="J5" i="48"/>
  <c r="I8" i="48" l="1"/>
  <c r="J8" i="48" s="1"/>
  <c r="J7" i="48"/>
  <c r="F9" i="50"/>
  <c r="J9" i="48" l="1"/>
  <c r="L9" i="48" l="1"/>
  <c r="E13" i="34" l="1"/>
  <c r="G127" i="34" l="1"/>
  <c r="H97" i="34"/>
  <c r="H127" i="34" s="1"/>
  <c r="G97" i="34"/>
  <c r="G68" i="34"/>
  <c r="E69" i="34"/>
  <c r="G69" i="34"/>
  <c r="G124" i="34" l="1"/>
  <c r="G126" i="34"/>
  <c r="G125" i="34"/>
  <c r="G96" i="34"/>
  <c r="H96" i="34"/>
  <c r="H126" i="34" s="1"/>
  <c r="H95" i="34"/>
  <c r="G95" i="34"/>
  <c r="G128" i="34" l="1"/>
  <c r="G116" i="34"/>
  <c r="G115" i="34"/>
  <c r="G114" i="34"/>
  <c r="G113" i="34"/>
  <c r="G112" i="34"/>
  <c r="G111" i="34"/>
  <c r="G110" i="34"/>
  <c r="G109" i="34"/>
  <c r="G108" i="34"/>
  <c r="G107" i="34"/>
  <c r="G98" i="34"/>
  <c r="G94" i="34"/>
  <c r="G87" i="34"/>
  <c r="G86" i="34"/>
  <c r="G85" i="34"/>
  <c r="G84" i="34"/>
  <c r="G82" i="34"/>
  <c r="G81" i="34"/>
  <c r="G80" i="34"/>
  <c r="G79" i="34"/>
  <c r="G77" i="34"/>
  <c r="G76" i="34"/>
  <c r="G54" i="34"/>
  <c r="G47" i="34"/>
  <c r="G21" i="34"/>
  <c r="G22" i="34"/>
  <c r="G23" i="34"/>
  <c r="G24" i="34"/>
  <c r="G25" i="34"/>
  <c r="G26" i="34"/>
  <c r="G27" i="34"/>
  <c r="G28" i="34"/>
  <c r="G20" i="34"/>
  <c r="H103" i="40" l="1"/>
  <c r="H102" i="40"/>
  <c r="H101" i="40"/>
  <c r="H98" i="40"/>
  <c r="H97" i="40"/>
  <c r="H89" i="40"/>
  <c r="H87" i="40"/>
  <c r="H84" i="40"/>
  <c r="G86" i="40"/>
  <c r="G85" i="40"/>
  <c r="G84" i="40"/>
  <c r="H83" i="40"/>
  <c r="G83" i="40"/>
  <c r="H75" i="40"/>
  <c r="H73" i="40"/>
  <c r="G75" i="40"/>
  <c r="G73" i="40"/>
  <c r="G72" i="40"/>
  <c r="G71" i="40"/>
  <c r="G70" i="40"/>
  <c r="H88" i="40"/>
  <c r="G62" i="40"/>
  <c r="G61" i="40"/>
  <c r="G58" i="40"/>
  <c r="G59" i="40"/>
  <c r="G60" i="40"/>
  <c r="G57" i="40"/>
  <c r="G48" i="40"/>
  <c r="G47" i="40"/>
  <c r="H31" i="40"/>
  <c r="H59" i="40"/>
  <c r="H33" i="40"/>
  <c r="H34" i="40"/>
  <c r="H35" i="40"/>
  <c r="H30" i="40"/>
  <c r="G31" i="40"/>
  <c r="G32" i="40"/>
  <c r="G33" i="40"/>
  <c r="G34" i="40"/>
  <c r="G35" i="40"/>
  <c r="G30" i="40"/>
  <c r="H18" i="40"/>
  <c r="H19" i="40"/>
  <c r="H20" i="40"/>
  <c r="H21" i="40"/>
  <c r="H22" i="40"/>
  <c r="H17" i="40"/>
  <c r="G18" i="40"/>
  <c r="G19" i="40"/>
  <c r="G20" i="40"/>
  <c r="G21" i="40"/>
  <c r="G22" i="40"/>
  <c r="G17" i="40"/>
  <c r="H116" i="34"/>
  <c r="H115" i="34"/>
  <c r="H114" i="34"/>
  <c r="H113" i="34"/>
  <c r="H112" i="34"/>
  <c r="H109" i="34"/>
  <c r="H110" i="34"/>
  <c r="H111" i="34"/>
  <c r="H108" i="34"/>
  <c r="H125" i="34" s="1"/>
  <c r="H107" i="34"/>
  <c r="H98" i="34"/>
  <c r="H128" i="34" s="1"/>
  <c r="H94" i="34"/>
  <c r="H87" i="34"/>
  <c r="H85" i="34"/>
  <c r="H86" i="34"/>
  <c r="H84" i="34"/>
  <c r="H80" i="34"/>
  <c r="H81" i="34"/>
  <c r="H82" i="34"/>
  <c r="H79" i="34"/>
  <c r="H76" i="34"/>
  <c r="H77" i="34"/>
  <c r="H21" i="34"/>
  <c r="H22" i="34"/>
  <c r="H23" i="34"/>
  <c r="H24" i="34"/>
  <c r="H25" i="34"/>
  <c r="H26" i="34"/>
  <c r="H27" i="34"/>
  <c r="H86" i="40" l="1"/>
  <c r="H85" i="40"/>
  <c r="E77" i="34"/>
  <c r="E76" i="34"/>
  <c r="E48" i="34"/>
  <c r="E47" i="34"/>
  <c r="E21" i="34"/>
  <c r="E20" i="34"/>
  <c r="E6" i="34"/>
  <c r="E5" i="34"/>
  <c r="E61" i="40" l="1"/>
  <c r="E47" i="40"/>
  <c r="E34" i="40"/>
  <c r="E21" i="40"/>
  <c r="E9" i="40"/>
  <c r="E112" i="34" l="1"/>
  <c r="E83" i="34"/>
  <c r="E54" i="34"/>
  <c r="E27" i="34"/>
  <c r="E12" i="34"/>
  <c r="E62" i="40"/>
  <c r="E10" i="40"/>
  <c r="E48" i="40" l="1"/>
  <c r="E22" i="40"/>
  <c r="E128" i="34"/>
  <c r="E113" i="34"/>
  <c r="E84" i="34"/>
  <c r="I88" i="40" l="1"/>
  <c r="I87" i="40"/>
  <c r="E29" i="40"/>
  <c r="F29" i="40" s="1"/>
  <c r="I29" i="40" s="1"/>
  <c r="E30" i="40"/>
  <c r="I83" i="40"/>
  <c r="I82" i="40"/>
  <c r="I81" i="40"/>
  <c r="I89" i="40"/>
  <c r="F33" i="40"/>
  <c r="I33" i="40" s="1"/>
  <c r="F34" i="40"/>
  <c r="I34" i="40" s="1"/>
  <c r="F35" i="40"/>
  <c r="I35" i="40" s="1"/>
  <c r="E55" i="34" l="1"/>
  <c r="E28" i="34"/>
  <c r="E39" i="34"/>
  <c r="E16" i="40" l="1"/>
  <c r="F16" i="40" s="1"/>
  <c r="I16" i="40" s="1"/>
  <c r="E56" i="40"/>
  <c r="I97" i="40"/>
  <c r="I98" i="40"/>
  <c r="I74" i="40"/>
  <c r="E54" i="40"/>
  <c r="E55" i="40"/>
  <c r="E57" i="40"/>
  <c r="F60" i="40"/>
  <c r="I60" i="40" s="1"/>
  <c r="F61" i="40"/>
  <c r="I61" i="40" s="1"/>
  <c r="F62" i="40"/>
  <c r="I62" i="40" s="1"/>
  <c r="I99" i="40"/>
  <c r="I72" i="40"/>
  <c r="I71" i="40"/>
  <c r="F45" i="40"/>
  <c r="I45" i="40" s="1"/>
  <c r="F44" i="40"/>
  <c r="I44" i="40" s="1"/>
  <c r="F19" i="40"/>
  <c r="I19" i="40" s="1"/>
  <c r="F18" i="40"/>
  <c r="I18" i="40" s="1"/>
  <c r="F6" i="40"/>
  <c r="I6" i="40" s="1"/>
  <c r="F7" i="40"/>
  <c r="I7" i="40" s="1"/>
  <c r="E4" i="40"/>
  <c r="F4" i="40" s="1"/>
  <c r="I4" i="40" s="1"/>
  <c r="E96" i="40"/>
  <c r="F96" i="40" s="1"/>
  <c r="I96" i="40" s="1"/>
  <c r="E95" i="40"/>
  <c r="F95" i="40" s="1"/>
  <c r="I95" i="40" s="1"/>
  <c r="I70" i="40"/>
  <c r="I69" i="40"/>
  <c r="I68" i="40"/>
  <c r="E43" i="40"/>
  <c r="F43" i="40" s="1"/>
  <c r="I43" i="40" s="1"/>
  <c r="E17" i="40"/>
  <c r="E42" i="40"/>
  <c r="F42" i="40" s="1"/>
  <c r="I42" i="40" s="1"/>
  <c r="E41" i="40"/>
  <c r="F41" i="40" s="1"/>
  <c r="I41" i="40" s="1"/>
  <c r="E5" i="40"/>
  <c r="F5" i="40" s="1"/>
  <c r="I5" i="40" s="1"/>
  <c r="F10" i="40"/>
  <c r="I10" i="40" s="1"/>
  <c r="F8" i="40"/>
  <c r="I8" i="40" s="1"/>
  <c r="F9" i="40"/>
  <c r="I9" i="40" s="1"/>
  <c r="F47" i="40"/>
  <c r="I47" i="40" s="1"/>
  <c r="F20" i="40"/>
  <c r="I20" i="40" s="1"/>
  <c r="F21" i="40"/>
  <c r="I21" i="40" s="1"/>
  <c r="I100" i="40"/>
  <c r="I101" i="40"/>
  <c r="F22" i="40"/>
  <c r="I22" i="40" s="1"/>
  <c r="I75" i="40"/>
  <c r="I102" i="40"/>
  <c r="I103" i="40"/>
  <c r="F46" i="40"/>
  <c r="I46" i="40" s="1"/>
  <c r="F48" i="40"/>
  <c r="I48" i="40" s="1"/>
  <c r="I73" i="40"/>
  <c r="I107" i="40" l="1"/>
  <c r="I11" i="51" s="1"/>
  <c r="I14" i="40"/>
  <c r="I4" i="51" s="1"/>
  <c r="I79" i="40"/>
  <c r="I9" i="51" s="1"/>
  <c r="I52" i="40"/>
  <c r="I7" i="51" s="1"/>
  <c r="F17" i="40"/>
  <c r="I84" i="40"/>
  <c r="I86" i="40"/>
  <c r="I85" i="40"/>
  <c r="F57" i="40"/>
  <c r="I57" i="40" s="1"/>
  <c r="F59" i="40"/>
  <c r="I59" i="40" s="1"/>
  <c r="F58" i="40"/>
  <c r="I58" i="40" s="1"/>
  <c r="F54" i="40"/>
  <c r="I54" i="40" s="1"/>
  <c r="F55" i="40"/>
  <c r="I55" i="40" s="1"/>
  <c r="F56" i="40"/>
  <c r="I56" i="40" s="1"/>
  <c r="F32" i="40"/>
  <c r="I32" i="40" s="1"/>
  <c r="F30" i="40"/>
  <c r="I30" i="40" s="1"/>
  <c r="F31" i="40"/>
  <c r="I31" i="40" s="1"/>
  <c r="F28" i="40"/>
  <c r="I28" i="40" s="1"/>
  <c r="I17" i="40" l="1"/>
  <c r="I26" i="40" s="1"/>
  <c r="I5" i="51" s="1"/>
  <c r="I39" i="40"/>
  <c r="I6" i="51" s="1"/>
  <c r="I93" i="40"/>
  <c r="I10" i="51" s="1"/>
  <c r="I66" i="40"/>
  <c r="I8" i="51" s="1"/>
  <c r="K107" i="40"/>
  <c r="K79" i="40"/>
  <c r="K52" i="40"/>
  <c r="K14" i="40" l="1"/>
  <c r="K26" i="40"/>
  <c r="K66" i="40"/>
  <c r="K39" i="40"/>
  <c r="K93" i="40"/>
  <c r="E127" i="34"/>
  <c r="F127" i="34" s="1"/>
  <c r="E64" i="34"/>
  <c r="F13" i="34" l="1"/>
  <c r="I13" i="34" s="1"/>
  <c r="E97" i="34"/>
  <c r="F97" i="34" s="1"/>
  <c r="I97" i="34" s="1"/>
  <c r="I127" i="34"/>
  <c r="F69" i="34"/>
  <c r="I69" i="34" s="1"/>
  <c r="E68" i="34"/>
  <c r="F68" i="34" s="1"/>
  <c r="I68" i="34" s="1"/>
  <c r="E38" i="34"/>
  <c r="F38" i="34" s="1"/>
  <c r="I38" i="34" s="1"/>
  <c r="E25" i="34"/>
  <c r="F25" i="34" s="1"/>
  <c r="I25" i="34" s="1"/>
  <c r="E124" i="34"/>
  <c r="F124" i="34" s="1"/>
  <c r="I124" i="34" s="1"/>
  <c r="F39" i="34"/>
  <c r="I39" i="34" s="1"/>
  <c r="E105" i="34"/>
  <c r="E104" i="34"/>
  <c r="E7" i="34"/>
  <c r="F98" i="34"/>
  <c r="I98" i="34" s="1"/>
  <c r="E94" i="34"/>
  <c r="F94" i="34" s="1"/>
  <c r="I94" i="34" s="1"/>
  <c r="E45" i="34"/>
  <c r="F55" i="34"/>
  <c r="I55" i="34" s="1"/>
  <c r="E58" i="34"/>
  <c r="F66" i="34"/>
  <c r="I66" i="34" s="1"/>
  <c r="E65" i="34"/>
  <c r="F125" i="34"/>
  <c r="I125" i="34" s="1"/>
  <c r="F128" i="34"/>
  <c r="I128" i="34" s="1"/>
  <c r="E81" i="34"/>
  <c r="F81" i="34" s="1"/>
  <c r="I81" i="34" s="1"/>
  <c r="E52" i="34"/>
  <c r="F52" i="34" s="1"/>
  <c r="I52" i="34" s="1"/>
  <c r="E110" i="34"/>
  <c r="F110" i="34" s="1"/>
  <c r="I110" i="34" s="1"/>
  <c r="F5" i="34"/>
  <c r="I5" i="34" s="1"/>
  <c r="E10" i="34"/>
  <c r="F10" i="34" s="1"/>
  <c r="I10" i="34" s="1"/>
  <c r="F26" i="34"/>
  <c r="I26" i="34" s="1"/>
  <c r="F108" i="34"/>
  <c r="I108" i="34" s="1"/>
  <c r="E115" i="34"/>
  <c r="F96" i="34"/>
  <c r="I96" i="34" s="1"/>
  <c r="F95" i="34"/>
  <c r="I95" i="34" s="1"/>
  <c r="F93" i="34"/>
  <c r="I93" i="34" s="1"/>
  <c r="F50" i="34"/>
  <c r="I50" i="34" s="1"/>
  <c r="F36" i="34"/>
  <c r="I36" i="34" s="1"/>
  <c r="E34" i="34"/>
  <c r="F23" i="34"/>
  <c r="I23" i="34" s="1"/>
  <c r="F8" i="34"/>
  <c r="I8" i="34" s="1"/>
  <c r="F9" i="34"/>
  <c r="I9" i="34" s="1"/>
  <c r="F57" i="34"/>
  <c r="I57" i="34" s="1"/>
  <c r="E86" i="34"/>
  <c r="F86" i="34" s="1"/>
  <c r="I86" i="34" s="1"/>
  <c r="F80" i="34"/>
  <c r="I80" i="34" s="1"/>
  <c r="F79" i="34"/>
  <c r="I79" i="34" s="1"/>
  <c r="E19" i="34"/>
  <c r="E123" i="34"/>
  <c r="E122" i="34"/>
  <c r="E75" i="34"/>
  <c r="F75" i="34" s="1"/>
  <c r="I75" i="34" s="1"/>
  <c r="E46" i="34"/>
  <c r="F64" i="34"/>
  <c r="I64" i="34" s="1"/>
  <c r="E78" i="34"/>
  <c r="F78" i="34" s="1"/>
  <c r="I78" i="34" s="1"/>
  <c r="F115" i="34" l="1"/>
  <c r="I115" i="34" s="1"/>
  <c r="I102" i="34"/>
  <c r="E10" i="51" s="1"/>
  <c r="F114" i="34"/>
  <c r="I114" i="34" s="1"/>
  <c r="F113" i="34"/>
  <c r="I113" i="34" s="1"/>
  <c r="F112" i="34"/>
  <c r="I112" i="34" s="1"/>
  <c r="F111" i="34"/>
  <c r="I111" i="34" s="1"/>
  <c r="F109" i="34"/>
  <c r="I109" i="34" s="1"/>
  <c r="E107" i="34"/>
  <c r="F107" i="34" s="1"/>
  <c r="I107" i="34" s="1"/>
  <c r="F105" i="34"/>
  <c r="I105" i="34" s="1"/>
  <c r="F123" i="34"/>
  <c r="I123" i="34" s="1"/>
  <c r="F122" i="34"/>
  <c r="I122" i="34" s="1"/>
  <c r="F104" i="34"/>
  <c r="I104" i="34" s="1"/>
  <c r="E106" i="34"/>
  <c r="F106" i="34" s="1"/>
  <c r="I106" i="34" s="1"/>
  <c r="E87" i="34"/>
  <c r="F77" i="34"/>
  <c r="I77" i="34" s="1"/>
  <c r="E116" i="34"/>
  <c r="F116" i="34" s="1"/>
  <c r="I116" i="34" s="1"/>
  <c r="F126" i="34"/>
  <c r="I126" i="34" s="1"/>
  <c r="F67" i="34"/>
  <c r="I67" i="34" s="1"/>
  <c r="F65" i="34"/>
  <c r="I65" i="34" s="1"/>
  <c r="F58" i="34"/>
  <c r="I58" i="34" s="1"/>
  <c r="F51" i="34"/>
  <c r="I51" i="34" s="1"/>
  <c r="E49" i="34"/>
  <c r="F49" i="34" s="1"/>
  <c r="I49" i="34" s="1"/>
  <c r="F46" i="34"/>
  <c r="I46" i="34" s="1"/>
  <c r="F45" i="34"/>
  <c r="I45" i="34" s="1"/>
  <c r="F7" i="34"/>
  <c r="I7" i="34" s="1"/>
  <c r="E4" i="34"/>
  <c r="F4" i="34" s="1"/>
  <c r="I4" i="34" s="1"/>
  <c r="F37" i="34"/>
  <c r="I37" i="34" s="1"/>
  <c r="E35" i="34"/>
  <c r="F35" i="34" s="1"/>
  <c r="I35" i="34" s="1"/>
  <c r="F24" i="34"/>
  <c r="I24" i="34" s="1"/>
  <c r="E22" i="34"/>
  <c r="F22" i="34" s="1"/>
  <c r="I22" i="34" s="1"/>
  <c r="F19" i="34"/>
  <c r="I19" i="34" s="1"/>
  <c r="F34" i="34"/>
  <c r="I34" i="34" s="1"/>
  <c r="F56" i="34"/>
  <c r="I56" i="34" s="1"/>
  <c r="F54" i="34"/>
  <c r="I54" i="34" s="1"/>
  <c r="F53" i="34"/>
  <c r="I53" i="34" s="1"/>
  <c r="F48" i="34"/>
  <c r="I48" i="34" s="1"/>
  <c r="F47" i="34"/>
  <c r="I47" i="34" s="1"/>
  <c r="I73" i="34" l="1"/>
  <c r="E8" i="51" s="1"/>
  <c r="I43" i="34"/>
  <c r="E6" i="51" s="1"/>
  <c r="I120" i="34"/>
  <c r="E11" i="51" s="1"/>
  <c r="I62" i="34"/>
  <c r="E7" i="51" s="1"/>
  <c r="L7" i="51" s="1"/>
  <c r="I132" i="34"/>
  <c r="E12" i="51" s="1"/>
  <c r="F84" i="34"/>
  <c r="I84" i="34" s="1"/>
  <c r="F83" i="34"/>
  <c r="I83" i="34" s="1"/>
  <c r="F87" i="34"/>
  <c r="I87" i="34" s="1"/>
  <c r="F76" i="34"/>
  <c r="I76" i="34" s="1"/>
  <c r="F82" i="34"/>
  <c r="I82" i="34" s="1"/>
  <c r="F85" i="34"/>
  <c r="I85" i="34" s="1"/>
  <c r="F28" i="34"/>
  <c r="I28" i="34" s="1"/>
  <c r="F27" i="34"/>
  <c r="I27" i="34" s="1"/>
  <c r="F21" i="34"/>
  <c r="I21" i="34" s="1"/>
  <c r="F20" i="34"/>
  <c r="I20" i="34" s="1"/>
  <c r="F12" i="34"/>
  <c r="I12" i="34" s="1"/>
  <c r="F6" i="34"/>
  <c r="I6" i="34" s="1"/>
  <c r="L11" i="51" l="1"/>
  <c r="G26" i="50" s="1"/>
  <c r="H26" i="50" s="1"/>
  <c r="G43" i="50"/>
  <c r="H43" i="50" s="1"/>
  <c r="G24" i="50"/>
  <c r="H24" i="50" s="1"/>
  <c r="G15" i="50"/>
  <c r="H15" i="50" s="1"/>
  <c r="G34" i="50"/>
  <c r="H34" i="50" s="1"/>
  <c r="G6" i="50"/>
  <c r="H6" i="50" s="1"/>
  <c r="I32" i="34"/>
  <c r="E5" i="51" s="1"/>
  <c r="L5" i="51" s="1"/>
  <c r="I91" i="34"/>
  <c r="E9" i="51" s="1"/>
  <c r="L9" i="51" s="1"/>
  <c r="K43" i="34"/>
  <c r="K102" i="34"/>
  <c r="F11" i="34"/>
  <c r="I11" i="34" s="1"/>
  <c r="G17" i="50" l="1"/>
  <c r="H17" i="50" s="1"/>
  <c r="G8" i="50"/>
  <c r="H8" i="50" s="1"/>
  <c r="G45" i="50"/>
  <c r="H45" i="50" s="1"/>
  <c r="G36" i="50"/>
  <c r="H36" i="50" s="1"/>
  <c r="G42" i="50"/>
  <c r="H42" i="50" s="1"/>
  <c r="G14" i="50"/>
  <c r="H14" i="50" s="1"/>
  <c r="G5" i="50"/>
  <c r="H5" i="50" s="1"/>
  <c r="G33" i="50"/>
  <c r="H33" i="50" s="1"/>
  <c r="G23" i="50"/>
  <c r="H23" i="50" s="1"/>
  <c r="G44" i="50"/>
  <c r="H44" i="50" s="1"/>
  <c r="G7" i="50"/>
  <c r="H7" i="50" s="1"/>
  <c r="G16" i="50"/>
  <c r="H16" i="50" s="1"/>
  <c r="G25" i="50"/>
  <c r="H25" i="50" s="1"/>
  <c r="G35" i="50"/>
  <c r="H35" i="50" s="1"/>
  <c r="K73" i="34"/>
  <c r="K62" i="34"/>
  <c r="K91" i="34"/>
  <c r="K120" i="34"/>
  <c r="I17" i="34"/>
  <c r="K17" i="34" l="1"/>
  <c r="E4" i="51"/>
  <c r="L4" i="51" s="1"/>
  <c r="K32" i="34"/>
  <c r="K132" i="34"/>
  <c r="G41" i="50" l="1"/>
  <c r="H41" i="50" s="1"/>
  <c r="H46" i="50" s="1"/>
  <c r="G22" i="50"/>
  <c r="H22" i="50" s="1"/>
  <c r="H27" i="50" s="1"/>
  <c r="G13" i="50"/>
  <c r="H13" i="50" s="1"/>
  <c r="H18" i="50" s="1"/>
  <c r="G32" i="50"/>
  <c r="H32" i="50" s="1"/>
  <c r="H37" i="50" s="1"/>
  <c r="G4" i="50"/>
  <c r="H4" i="50" s="1"/>
  <c r="H9" i="50" s="1"/>
  <c r="H48" i="50" l="1"/>
  <c r="B10" i="49" s="1"/>
  <c r="H49" i="50"/>
  <c r="H51" i="50" l="1"/>
  <c r="C10" i="49"/>
  <c r="D11" i="49" s="1"/>
  <c r="C6" i="49" l="1"/>
  <c r="D14" i="49" l="1"/>
</calcChain>
</file>

<file path=xl/sharedStrings.xml><?xml version="1.0" encoding="utf-8"?>
<sst xmlns="http://schemas.openxmlformats.org/spreadsheetml/2006/main" count="1001" uniqueCount="259">
  <si>
    <t>Bieterangaben</t>
  </si>
  <si>
    <t>OZ</t>
  </si>
  <si>
    <t>Einheit</t>
  </si>
  <si>
    <t>m³</t>
  </si>
  <si>
    <t>m²</t>
  </si>
  <si>
    <t>St.</t>
  </si>
  <si>
    <t>m</t>
  </si>
  <si>
    <t>Bezeichnung</t>
  </si>
  <si>
    <t>Spritzbeton Kalotte d = 25 cm</t>
  </si>
  <si>
    <t>SN-Anker l = 4,0 m</t>
  </si>
  <si>
    <t>Ortsbrustversiegelung d = 5 cm</t>
  </si>
  <si>
    <t>Spritzbeton Kalotte d = 30 cm</t>
  </si>
  <si>
    <t>Bewehrung Ortsbrust Q 188 A</t>
  </si>
  <si>
    <t>Vkl-Verteilung</t>
  </si>
  <si>
    <t>SB-Anker l = 6,0 m</t>
  </si>
  <si>
    <t xml:space="preserve"> Kalotte</t>
  </si>
  <si>
    <t>Ausbaubogen Gitterträger Typ 2</t>
  </si>
  <si>
    <t>Kalotte 6A.1 HR</t>
  </si>
  <si>
    <t>Kalotte 6A.2 HR</t>
  </si>
  <si>
    <t>Spritzbeton Kalotte d = 35 cm</t>
  </si>
  <si>
    <t>Ausbaubogen Gitterträger Typ 3</t>
  </si>
  <si>
    <t>Spritzbeton Kalottenfuß</t>
  </si>
  <si>
    <t>Spritzbeton Kalottensohle d = 25 cm</t>
  </si>
  <si>
    <t>Kalottensohle 6A.2 HR</t>
  </si>
  <si>
    <t>Vollspieße; l=4,0 m, unvermörtelt (50%)</t>
  </si>
  <si>
    <t>Kalottensohle 7A.3 HR</t>
  </si>
  <si>
    <t>Kalotte 7A.3 HR</t>
  </si>
  <si>
    <t>Kalotte 7A.1 HR</t>
  </si>
  <si>
    <t>Kalottensohle 7A.1 HR</t>
  </si>
  <si>
    <t>Spritzbeton Kalottensohle d =25 cm</t>
  </si>
  <si>
    <t>Menge je Abschlag</t>
  </si>
  <si>
    <t>Rohrschirm</t>
  </si>
  <si>
    <r>
      <t xml:space="preserve">VKL
</t>
    </r>
    <r>
      <rPr>
        <sz val="9"/>
        <color theme="1"/>
        <rFont val="Arial"/>
        <family val="2"/>
      </rPr>
      <t>Abschlagslänge</t>
    </r>
  </si>
  <si>
    <t>St</t>
  </si>
  <si>
    <t>Spritzbeton Strosse/Sohle d = 25 cm</t>
  </si>
  <si>
    <r>
      <t xml:space="preserve">Ausbruch VKL 6A.2 HR, mit td+ü= 3cm; Abschlagslänge 2,60 m 
</t>
    </r>
    <r>
      <rPr>
        <b/>
        <sz val="9"/>
        <rFont val="Arial"/>
        <family val="2"/>
      </rPr>
      <t>Sprengen 100%</t>
    </r>
  </si>
  <si>
    <t>Spritzbeton Strosse/Sohle d = 30 cm</t>
  </si>
  <si>
    <r>
      <t xml:space="preserve">Ausbruch VKL 6A.2 HR, mit td+ü= 5cm; Abschlagslänge 1,30 m 
</t>
    </r>
    <r>
      <rPr>
        <b/>
        <sz val="9"/>
        <rFont val="Arial"/>
        <family val="2"/>
      </rPr>
      <t>Sprengen 100%</t>
    </r>
  </si>
  <si>
    <t>Kalotte 7A.2 HR</t>
  </si>
  <si>
    <t>Kalottensohle 7A.2 HR</t>
  </si>
  <si>
    <t>SB-Anker l= 12 m, Ortsbrust neu einbauen</t>
  </si>
  <si>
    <t>Bewehrung Kalotte bergseitig Q 355 A</t>
  </si>
  <si>
    <t>Ortsbrust Spritzbeton d = 10 cm</t>
  </si>
  <si>
    <t>Bewehrung Kalotte bergseitig Q 257 A</t>
  </si>
  <si>
    <t>Bewehrung Kalottensohle bergseitig Q 257 A</t>
  </si>
  <si>
    <t>Strosse/Sohle 6A.2 HR
(ohne KSG)</t>
  </si>
  <si>
    <t>Strosse/Sohle 7A.1 HR
(ohne KSG)</t>
  </si>
  <si>
    <t>Strosse/Sohle 7A.2 HR
(ohne KSG)</t>
  </si>
  <si>
    <t>Strosse/Sohle 7A.2 HR
(mit KSG)</t>
  </si>
  <si>
    <t>Strosse/Sohle 7A.1 HR
(mit KSG)</t>
  </si>
  <si>
    <t>Strosse/Sohle 6A.2 HR
(mit KSG)</t>
  </si>
  <si>
    <t>Bewehrung Strosse/Sohle bergseitig Q 257 A</t>
  </si>
  <si>
    <t>Bewehrung Strosse/Sohle bergseitig Q 355 A</t>
  </si>
  <si>
    <t>Spritzbeton Kalottensohle d = 25 cm abbrechen</t>
  </si>
  <si>
    <t>Strosse/Sohle 7A.3 HR
(mit KSG)</t>
  </si>
  <si>
    <t>Strosse/Sohle 6A.1 HR
(ohne KSG)</t>
  </si>
  <si>
    <t>Bewehrungsanschluss</t>
  </si>
  <si>
    <t>Spritzbeton Kalottensohle d = 20 cm</t>
  </si>
  <si>
    <r>
      <t xml:space="preserve">Ausbruch VKL 7A.2 HR, mit td+ü=10cm; Abschlagslänge 1,00 m 
</t>
    </r>
    <r>
      <rPr>
        <b/>
        <sz val="9"/>
        <rFont val="Arial"/>
        <family val="2"/>
      </rPr>
      <t>Mechanisches Lösen 100%</t>
    </r>
  </si>
  <si>
    <t xml:space="preserve">Bewehrungsanschluss </t>
  </si>
  <si>
    <t>Selbstbohrspieße; l=4,0m, vermörtelt (50%)</t>
  </si>
  <si>
    <t>Selbstbohrspieße; l=4,0 m vermörtelt (50%)</t>
  </si>
  <si>
    <t>Rohrspieße; l=4,0m  (50%)</t>
  </si>
  <si>
    <t>Bewehrung Kalotte luftseitig Q 257 A</t>
  </si>
  <si>
    <t>Bewehrung Kalottensohle luftseitig Q 257 A</t>
  </si>
  <si>
    <t>Bewehrung Kalotte luftseitig Q 355 A</t>
  </si>
  <si>
    <t>Bewehrung Strosse/Sohle luftseitig Q 257 A</t>
  </si>
  <si>
    <t>Bewehrung Strosse/Sohle luftseitig Q 355 A</t>
  </si>
  <si>
    <r>
      <t xml:space="preserve">Ausbruch VKL 6A.1 HR, mit td+ü= 3cm; Abschlagslänge 3,40 m 
</t>
    </r>
    <r>
      <rPr>
        <b/>
        <sz val="9"/>
        <rFont val="Arial"/>
        <family val="2"/>
      </rPr>
      <t>Sprengen 100%</t>
    </r>
  </si>
  <si>
    <r>
      <t xml:space="preserve">Ausbruch VKL Kalottensohle 6A.2 HR; 
Abschlagslänge 2,60 m
</t>
    </r>
    <r>
      <rPr>
        <b/>
        <sz val="9"/>
        <rFont val="Arial"/>
        <family val="2"/>
      </rPr>
      <t>Sprengen 100%</t>
    </r>
  </si>
  <si>
    <t>Spritzbeton Kalottensohle d = 20 cm abbrechen</t>
  </si>
  <si>
    <t>Hinweise zum Ausfüllen der Tabellenblätter:</t>
  </si>
  <si>
    <t>• Gewollte Leerbefüllungen sind mit der Eingabe von "0" vorzunehmen.</t>
  </si>
  <si>
    <t>Notizen zu Verknüpfungen</t>
  </si>
  <si>
    <t>auch für weitere VKL s.u.</t>
  </si>
  <si>
    <r>
      <t xml:space="preserve">Ausbruch VKL 6A.1 HR, mit td+ü= 5cm; Abschlagslänge 1,70 m 
</t>
    </r>
    <r>
      <rPr>
        <b/>
        <sz val="9"/>
        <rFont val="Arial"/>
        <family val="2"/>
      </rPr>
      <t>Sprengen 100%</t>
    </r>
    <r>
      <rPr>
        <sz val="9"/>
        <rFont val="Arial"/>
        <family val="2"/>
      </rPr>
      <t xml:space="preserve">  </t>
    </r>
  </si>
  <si>
    <r>
      <t xml:space="preserve">Ausbruch VKL 7A.1 HR, mit td+ü=10cm; Abschlagslänge 1,30 m 
</t>
    </r>
    <r>
      <rPr>
        <b/>
        <sz val="9"/>
        <rFont val="Arial"/>
        <family val="2"/>
      </rPr>
      <t>Sprengen 31%</t>
    </r>
    <r>
      <rPr>
        <sz val="9"/>
        <rFont val="Arial"/>
        <family val="2"/>
      </rPr>
      <t xml:space="preserve">  *)</t>
    </r>
  </si>
  <si>
    <r>
      <t xml:space="preserve">Ausbruch VKL 7A.1 HR, mit td+ü=10cm; Abschlagslänge 1,30 m 
</t>
    </r>
    <r>
      <rPr>
        <b/>
        <sz val="9"/>
        <rFont val="Arial"/>
        <family val="2"/>
      </rPr>
      <t>Mechanisches Lösen 69%</t>
    </r>
    <r>
      <rPr>
        <sz val="9"/>
        <rFont val="Arial"/>
        <family val="2"/>
      </rPr>
      <t xml:space="preserve">  *)</t>
    </r>
  </si>
  <si>
    <r>
      <t xml:space="preserve">Ausbruch VKL 7A.1 HR, mit td+ü=5cm; Abschlagslänge 2,60 m 
</t>
    </r>
    <r>
      <rPr>
        <b/>
        <sz val="9"/>
        <rFont val="Arial"/>
        <family val="2"/>
      </rPr>
      <t>Sprengen 78%</t>
    </r>
    <r>
      <rPr>
        <sz val="9"/>
        <rFont val="Arial"/>
        <family val="2"/>
      </rPr>
      <t xml:space="preserve">  *)</t>
    </r>
  </si>
  <si>
    <r>
      <t xml:space="preserve">Ausbruch VKL 7A.1 HR, mit td+ü=5cm; Abschlagslänge 2,60 m 
</t>
    </r>
    <r>
      <rPr>
        <b/>
        <sz val="9"/>
        <rFont val="Arial"/>
        <family val="2"/>
      </rPr>
      <t>Mechanisches Lösen 22%</t>
    </r>
    <r>
      <rPr>
        <sz val="9"/>
        <rFont val="Arial"/>
        <family val="2"/>
      </rPr>
      <t xml:space="preserve">  *)</t>
    </r>
  </si>
  <si>
    <r>
      <t xml:space="preserve">Ausbruch VKL 7A.2 HR, mit td+ü=5cm; Abschlagslänge 2,00 m 
</t>
    </r>
    <r>
      <rPr>
        <b/>
        <sz val="9"/>
        <rFont val="Arial"/>
        <family val="2"/>
      </rPr>
      <t>Sprengen 49%  *)</t>
    </r>
  </si>
  <si>
    <r>
      <t xml:space="preserve">Ausbruch VKL 7A.2 HR, mit td+ü=5cm; Abschlagslänge 2,00 m 
</t>
    </r>
    <r>
      <rPr>
        <b/>
        <sz val="9"/>
        <rFont val="Arial"/>
        <family val="2"/>
      </rPr>
      <t>Mechanisches Lösen 51%  *)</t>
    </r>
  </si>
  <si>
    <r>
      <t xml:space="preserve">Menge pro lfdm.
</t>
    </r>
    <r>
      <rPr>
        <sz val="7.8"/>
        <rFont val="Arial"/>
        <family val="2"/>
      </rPr>
      <t>(Durchschnitts-wert)</t>
    </r>
  </si>
  <si>
    <t>Bewehrung Kalottensohle bergseitig Q 335 A</t>
  </si>
  <si>
    <t>Bewehrung Kalottensohle luftseitig Q 335 A</t>
  </si>
  <si>
    <r>
      <t xml:space="preserve">Ausbruch VKL 7A.3 HR, mit td+ü=5cm; Abschlagslänge 2,00 m 
</t>
    </r>
    <r>
      <rPr>
        <b/>
        <sz val="9"/>
        <rFont val="Arial"/>
        <family val="2"/>
      </rPr>
      <t>Sprengen 77%</t>
    </r>
    <r>
      <rPr>
        <sz val="9"/>
        <rFont val="Arial"/>
        <family val="2"/>
      </rPr>
      <t xml:space="preserve">  *)</t>
    </r>
  </si>
  <si>
    <r>
      <t xml:space="preserve">Ausbruch VKL 7A.3 HR, mit td+ü=5cm; Abschlagslänge 2,00 m 
</t>
    </r>
    <r>
      <rPr>
        <b/>
        <sz val="9"/>
        <rFont val="Arial"/>
        <family val="2"/>
      </rPr>
      <t>Mechanisches Lösen 23%</t>
    </r>
    <r>
      <rPr>
        <sz val="9"/>
        <rFont val="Arial"/>
        <family val="2"/>
      </rPr>
      <t xml:space="preserve">  *)</t>
    </r>
  </si>
  <si>
    <r>
      <t xml:space="preserve">Ausbruch VKL Kalottensohle 7A.2 HR; 
Abschlagslänge 2,0 m
</t>
    </r>
    <r>
      <rPr>
        <b/>
        <sz val="9"/>
        <rFont val="Arial"/>
        <family val="2"/>
      </rPr>
      <t>Mechanisches Lösen 100%</t>
    </r>
  </si>
  <si>
    <r>
      <t xml:space="preserve">Ausbruch VKL 7A.3 HR, mit td+ü=10cm; Abschlagslänge 1,00 m 
Sprengen </t>
    </r>
    <r>
      <rPr>
        <b/>
        <sz val="9"/>
        <rFont val="Arial"/>
        <family val="2"/>
      </rPr>
      <t>60%</t>
    </r>
    <r>
      <rPr>
        <sz val="9"/>
        <rFont val="Arial"/>
        <family val="2"/>
      </rPr>
      <t xml:space="preserve">  *)</t>
    </r>
  </si>
  <si>
    <r>
      <t xml:space="preserve">Ausbruch VKL 7A.3 HR, mit td+ü=10cm; Abschlagslänge 1,00 m 
Mechanisches Lösen </t>
    </r>
    <r>
      <rPr>
        <b/>
        <sz val="9"/>
        <rFont val="Arial"/>
        <family val="2"/>
      </rPr>
      <t>40%</t>
    </r>
    <r>
      <rPr>
        <sz val="9"/>
        <rFont val="Arial"/>
        <family val="2"/>
      </rPr>
      <t xml:space="preserve">  *)</t>
    </r>
  </si>
  <si>
    <t>Bewehrungsanschluss KSG</t>
  </si>
  <si>
    <r>
      <t xml:space="preserve">Ausbruch VKL Kalottensohle 7A.1 HR; 
Abschlagslänge 2,6 m
</t>
    </r>
    <r>
      <rPr>
        <b/>
        <sz val="9"/>
        <rFont val="Arial"/>
        <family val="2"/>
      </rPr>
      <t>Mechanisches Lösen 100%</t>
    </r>
  </si>
  <si>
    <r>
      <t xml:space="preserve">Einheitspreis
</t>
    </r>
    <r>
      <rPr>
        <sz val="8"/>
        <color theme="1"/>
        <rFont val="Arial"/>
        <family val="2"/>
      </rPr>
      <t>(Angabe mit zwei Nachkommastellen)</t>
    </r>
  </si>
  <si>
    <t>Gesamtpreis je lfdm.</t>
  </si>
  <si>
    <t>02.01.0020</t>
  </si>
  <si>
    <t>ZGK spezielle Tunnelarbeiten (Zul.)</t>
  </si>
  <si>
    <t>02.01.0040</t>
  </si>
  <si>
    <t>Allgemeine ZGK, variable Teilzeiten, Vortr. - Bet.Ende</t>
  </si>
  <si>
    <t>30.01.0050</t>
  </si>
  <si>
    <t>30.01.0070</t>
  </si>
  <si>
    <t>30.01.0080</t>
  </si>
  <si>
    <r>
      <rPr>
        <b/>
        <sz val="9"/>
        <color theme="1"/>
        <rFont val="Symbol"/>
        <family val="1"/>
        <charset val="2"/>
      </rPr>
      <t>S</t>
    </r>
    <r>
      <rPr>
        <b/>
        <sz val="9"/>
        <color theme="1"/>
        <rFont val="Arial"/>
        <family val="2"/>
      </rPr>
      <t xml:space="preserve"> Preis</t>
    </r>
    <r>
      <rPr>
        <b/>
        <sz val="9"/>
        <color theme="1"/>
        <rFont val="Arial"/>
        <family val="1"/>
        <charset val="2"/>
      </rPr>
      <t xml:space="preserve"> je VKL</t>
    </r>
  </si>
  <si>
    <t>30.01.0090</t>
  </si>
  <si>
    <t>30.01.0110</t>
  </si>
  <si>
    <t>30.01.0120</t>
  </si>
  <si>
    <t>30.01.0140</t>
  </si>
  <si>
    <t>30.01.0150</t>
  </si>
  <si>
    <t>30.01.0170</t>
  </si>
  <si>
    <t>30.01.0210</t>
  </si>
  <si>
    <t>30.01.0220</t>
  </si>
  <si>
    <t>30.01.0230</t>
  </si>
  <si>
    <t>30.01.0240</t>
  </si>
  <si>
    <t>30.01.0250</t>
  </si>
  <si>
    <t>30.01.0260</t>
  </si>
  <si>
    <t>30.01.0270</t>
  </si>
  <si>
    <t>30.01.0280</t>
  </si>
  <si>
    <t>30.01.0300</t>
  </si>
  <si>
    <t>30.01.0310</t>
  </si>
  <si>
    <t>30.01.0330</t>
  </si>
  <si>
    <t>30.02.0010</t>
  </si>
  <si>
    <t>30.02.0020</t>
  </si>
  <si>
    <t>30.02.0040</t>
  </si>
  <si>
    <t>30.02.0050</t>
  </si>
  <si>
    <t>30.02.0060</t>
  </si>
  <si>
    <t>30.02.0070</t>
  </si>
  <si>
    <t>30.01.0320</t>
  </si>
  <si>
    <t>30.01.0340</t>
  </si>
  <si>
    <t>Dabei werden die finanziellen Folgen einer reinen Mengenverschiebung der Vortriebsklassen in lfd m infolge der tatsächlich erforderlichen Vortriebsklassenverteilung bereits mit Zuschlagserteilung verbindlich vereinbart. Weiterhin werden über die Bieterangaben zu den zeitgebundenen Kosten die bauzeitlichen Ansprüche für das Gewerk Tunnelbau einschließlich der Vergütung für die Zeitgebunden Kosten als Folge einer möglichen, von der Prognose abweichenden Verteilung der Vortriebsklassen bereits mit Zuschlagserteilung verbindlich vereinbart.</t>
  </si>
  <si>
    <t>Eh</t>
  </si>
  <si>
    <t>Faktor</t>
  </si>
  <si>
    <t>6A-1_HR</t>
  </si>
  <si>
    <t>5-fach</t>
  </si>
  <si>
    <t>6A-2_HR</t>
  </si>
  <si>
    <t>7A-1 HR</t>
  </si>
  <si>
    <t>7A-2 HR</t>
  </si>
  <si>
    <t>Gesamt</t>
  </si>
  <si>
    <t>Plan</t>
  </si>
  <si>
    <t>VKL</t>
  </si>
  <si>
    <t>Länge</t>
  </si>
  <si>
    <t>Wertung Variante 1</t>
  </si>
  <si>
    <t>Wertung Variante 2</t>
  </si>
  <si>
    <t>Wertung Variante 3</t>
  </si>
  <si>
    <t>Wertung Variante 4</t>
  </si>
  <si>
    <t>Wertung Variante 5</t>
  </si>
  <si>
    <t>BIETERANGABEN / ERMITTLUNG DER ROBUSTHEIT</t>
  </si>
  <si>
    <t>U17.05-04</t>
  </si>
  <si>
    <t>U17.05-05</t>
  </si>
  <si>
    <t>U17.05-06</t>
  </si>
  <si>
    <t>U17.05-07</t>
  </si>
  <si>
    <t>U17.05-08</t>
  </si>
  <si>
    <t>Auswertung:</t>
  </si>
  <si>
    <t>Alle Angaben in EUR netto</t>
  </si>
  <si>
    <t>Untere Schranke:</t>
  </si>
  <si>
    <t>≤</t>
  </si>
  <si>
    <t>WP</t>
  </si>
  <si>
    <t>Obere Schranke:</t>
  </si>
  <si>
    <t>≥</t>
  </si>
  <si>
    <t>Preisspanne</t>
  </si>
  <si>
    <t>Q-Typ</t>
  </si>
  <si>
    <t>Min</t>
  </si>
  <si>
    <t>Max</t>
  </si>
  <si>
    <t>Wertung</t>
  </si>
  <si>
    <t>WP.</t>
  </si>
  <si>
    <t>HR</t>
  </si>
  <si>
    <t>Preis lfd m</t>
  </si>
  <si>
    <t>Summe</t>
  </si>
  <si>
    <t>Δ</t>
  </si>
  <si>
    <t>fiktive Wertungssumme-min</t>
  </si>
  <si>
    <t>fiktive Wertungssumme-max</t>
  </si>
  <si>
    <t xml:space="preserve">Das Kriterium "Robustheit" wird bewertet mit </t>
  </si>
  <si>
    <t>Im Bauvertrag wird für den Tunnel ein flexibles Bauzeitmodell durch gesonderte Ausweisung von Zeitgebundenen Kosten vereinbart. Hintergrund ist die im Tunnelbau unvermeidliche Prognoseunsicherheit hinsichtlich der tatsächlich erforderlichen Verteilung (Längenanteile) der ausgeschriebenen Vortriebsklassen.</t>
  </si>
  <si>
    <t>5-fach (Max)</t>
  </si>
  <si>
    <t>7A-3 HR</t>
  </si>
  <si>
    <t>6A-1 HR</t>
  </si>
  <si>
    <t>6A-2 HR</t>
  </si>
  <si>
    <t>• Für identische ZGK-Preise in unterschiedlichen Vortriebsklassen sind die gleichen Einheitspreise einzutragen, im vorliegenden Excel-Sheet sind entsprechende Verlinkungen angelegt. Es werden nur die ZGK der Kalotte nach Bieterangaben Unterlage 01.03.-1.1 und die der Strosse/Sohle nach Bieterangaben Unterlage 01.03.-1.4 berücksichtigt, die übrigen ZGK werden hier vernachlässigt.</t>
  </si>
  <si>
    <t>6A.1 HR
StrSo ohne KSG</t>
  </si>
  <si>
    <t>6A.2 HR
StrSo ohne KSG</t>
  </si>
  <si>
    <t>6A.2 HR
StrSo mit KSG</t>
  </si>
  <si>
    <t>7A.1 HR
StrSo ohne KSG</t>
  </si>
  <si>
    <t>7A.1 HR
StrSo mit KSG</t>
  </si>
  <si>
    <t>7A.2 HR
StrSo ohne KSG</t>
  </si>
  <si>
    <t>7A.2 HR
StrSo mit KSG</t>
  </si>
  <si>
    <t>7A.3 HR
StrSo mit KSG</t>
  </si>
  <si>
    <t>6A.1 HR
Kalotte</t>
  </si>
  <si>
    <t>6A.2 HR 
Kalotte</t>
  </si>
  <si>
    <t>6A.2 HR 
Kalottensohle</t>
  </si>
  <si>
    <t>7A.1 HR 
Kalotte</t>
  </si>
  <si>
    <t>7A.1 HR 
Kalottensohle</t>
  </si>
  <si>
    <t>7A.2 HR 
Kalotte</t>
  </si>
  <si>
    <t>7A.2 HR 
Kalottensohle</t>
  </si>
  <si>
    <t>7A.3 HR 
Kalotte</t>
  </si>
  <si>
    <t>7A.3 HR 
Kalottensohle</t>
  </si>
  <si>
    <t>Preis</t>
  </si>
  <si>
    <t>VKL StrSo</t>
  </si>
  <si>
    <t>VKL Kalotte</t>
  </si>
  <si>
    <t>30.02.0310</t>
  </si>
  <si>
    <t>30.02.0320</t>
  </si>
  <si>
    <t>30.02.0140</t>
  </si>
  <si>
    <t>30.02.0195</t>
  </si>
  <si>
    <t>30.02.0200</t>
  </si>
  <si>
    <t>30.02.0260</t>
  </si>
  <si>
    <t>30.02.0330</t>
  </si>
  <si>
    <t>30.02.0220</t>
  </si>
  <si>
    <t>30.02.0180</t>
  </si>
  <si>
    <t>Wertungspunkte</t>
  </si>
  <si>
    <r>
      <rPr>
        <sz val="11"/>
        <color theme="1"/>
        <rFont val="Symbol"/>
        <family val="1"/>
        <charset val="2"/>
      </rPr>
      <t>D in Mio €</t>
    </r>
  </si>
  <si>
    <t>X</t>
  </si>
  <si>
    <t>Y</t>
  </si>
  <si>
    <t>Faktor Str/So</t>
  </si>
  <si>
    <t>Faktor Kal</t>
  </si>
  <si>
    <t>Gesamtpreis € netto /lfd m</t>
  </si>
  <si>
    <t>7A-3-HR</t>
  </si>
  <si>
    <r>
      <t xml:space="preserve">= </t>
    </r>
    <r>
      <rPr>
        <b/>
        <sz val="11"/>
        <color theme="1"/>
        <rFont val="Symbol"/>
        <family val="1"/>
        <charset val="2"/>
      </rPr>
      <t>D</t>
    </r>
  </si>
  <si>
    <t>30.02.0290</t>
  </si>
  <si>
    <t>30.02.0120</t>
  </si>
  <si>
    <t>30.02.0100</t>
  </si>
  <si>
    <t>30.02.0270</t>
  </si>
  <si>
    <t>30.01.0100</t>
  </si>
  <si>
    <t>30.02.0340</t>
  </si>
  <si>
    <r>
      <t>Ausbruch VKL Kalottensohle 7A.3 HR; 
Abschlagslänge 2,0 m
Sprengen</t>
    </r>
    <r>
      <rPr>
        <b/>
        <sz val="9"/>
        <rFont val="Arial"/>
        <family val="2"/>
      </rPr>
      <t xml:space="preserve"> 60%</t>
    </r>
    <r>
      <rPr>
        <sz val="9"/>
        <rFont val="Arial"/>
        <family val="2"/>
      </rPr>
      <t xml:space="preserve">  *)</t>
    </r>
  </si>
  <si>
    <r>
      <t>Ausbruch VKL Kalottensohle 7A.3 HR; 
Abschlagslänge 2,0 m
Mechanisches Lösen 4</t>
    </r>
    <r>
      <rPr>
        <b/>
        <sz val="9"/>
        <rFont val="Arial"/>
        <family val="2"/>
      </rPr>
      <t>0%</t>
    </r>
    <r>
      <rPr>
        <sz val="9"/>
        <rFont val="Arial"/>
        <family val="2"/>
      </rPr>
      <t xml:space="preserve">   *)</t>
    </r>
  </si>
  <si>
    <t>30.01.0180</t>
  </si>
  <si>
    <t>30.01.0190</t>
  </si>
  <si>
    <t>30.02.0210</t>
  </si>
  <si>
    <t>30.02.0230</t>
  </si>
  <si>
    <t>t</t>
  </si>
  <si>
    <t xml:space="preserve">Generell gilt: Die nach diesen Tabellen anzugebenden ausgewählten Einheitspreise werden hier ausschliesslich für die Bewertung der Robustheit verwendet. </t>
  </si>
  <si>
    <t>Im Wertungskriterium Robustheit wird die Veränderung des Angebotspreises auf Basis  der vertragliche vorgegebenen Vortriebsklassenverteilung der Hauptröhre ohne Luftbogenstrecke gegenüber einer hypothetischen im Zuge der Bauausführung geänderten Vortriebsklassenverteilung anhand einer Sensitivitätsanalyse des Angebotes überprüft und bewertet. Dazu wird eine Verschiebung der Längenanteile jeder Vortriebsklassen einschliesslich anteiliger Kalottensohlen durch Erhöhung auf das 5-fache (maximal die Gesamtlänge) und proportionale Reduktion der anderen Klassen simuliert und die Kostenfolgen des jeweiligen Angebotes ausgewertet. Überproportional große Kostenfolgen führen in diesem Wertungskriterium zu einer Bewertung mit weniger Wertungspunkten gemäß der nachfolgend beschriebener Vorgehensweise.</t>
  </si>
  <si>
    <t>Alle davon betroffenen Leistungspositionen werden unter Beibehaltung der angebotenen Leistungsansätze mit den angepassten Mengen einschliesslich der Ermittlung der zeitgebundenen Kosten ausgewertet, einschließlich der Ermittlung der Zeitgebundenen Kosten unter Beibehaltung der angebotenen Leistungsansätze. Für die Hauptröhre (ohne Luftbogenstrecke) wird aus den untersuchten Varianten die Wertspanne zwischen dem höchsten und dem niedrigsten fiktiven Preis bei der Wertung berücksichtigt.</t>
  </si>
  <si>
    <t>Die Längenverteilungen, die der Sensitivitätsanalyse in den jeweiligen Varianten zugrunde gelegt werden, können der Anlage U1.3-11 entnommen werden. 
Die Gesamtlängen der aufzufahrenden Tunnellänge ohne Luftbogenstrecke bleibt unverändert.</t>
  </si>
  <si>
    <t>• Die gelb hinterlegten Felder sind mit Werten übereinstimmend mit den in Bezug genommenen Angebotspreisen und übrigen Vergabeunterlagen zu befüllen. Die jeweiligen Vorgaben zur Anzahl der Nachkommastellen sind zu beachten.</t>
  </si>
  <si>
    <t>• Für identische Anagben in unterschiedlichen Vortriebsklassen (z.B. Stützmittel, ZGK) sind die gleichen Einheitspreisen einzutragen. In den Tabellen U1.3-12 bis U1.3-15 sind vorliegenden Excel-Sheet entsprechende Verlinkungen angelegt.</t>
  </si>
  <si>
    <t>Eine formale Veränderung der vorgegebenen Tabellen zur Ermittlung der Robustheit ist nicht zulässig!
Bei Widersprüchen werden die Angaben in den Tabellen zur Robustheitsprüfung in der Rangfolge Angebotspreise -&gt; Bieterangaben zu ZGK -&gt; Bieterangaben zur Robustheit -&gt; Ermittlung Wertungspunkte
durch die Vergabestelle richtiggestellt.</t>
  </si>
  <si>
    <r>
      <t xml:space="preserve">Preis je lfdm
</t>
    </r>
    <r>
      <rPr>
        <sz val="8"/>
        <color theme="1"/>
        <rFont val="Arial"/>
        <family val="2"/>
      </rPr>
      <t>(Ermittlung auf zwei Nachkommastellen gerundet)</t>
    </r>
  </si>
  <si>
    <t xml:space="preserve">Teilbauzeit 2 aus Tabelle U1.3-4.1 </t>
  </si>
  <si>
    <t>VT-Dauer Kalotte HR aus Tabelle U1.3-1.61</t>
  </si>
  <si>
    <t>Vortriebsleistung K 6A.1 in m/KT aus Tabelle U1.3-1.1</t>
  </si>
  <si>
    <t>Vortriebsleistung K 6A.2 in m/KT aus Tabelle U1.3-1.1</t>
  </si>
  <si>
    <t>Vortriebsleistung KS 6A.2 in m/KT aus Tabelle U1.3-1.1</t>
  </si>
  <si>
    <t>Vortriebsleistung K 7A.1 in m/KT aus Tabelle U1.3-1.1</t>
  </si>
  <si>
    <t>Vortriebsleistung KS 7A.1 in m/KT aus Tabelle U1.3-1.1</t>
  </si>
  <si>
    <t>Anmerkung:</t>
  </si>
  <si>
    <t>Bei den VKL-Variationen werden die Prozentualen Anteile der Kalottensohle in den jeweiligen Ausbruchsklassen beibehalten.</t>
  </si>
  <si>
    <t>Vortriebsleistung K 7A.2 in m/KT aus Tabelle U1.3-1.1</t>
  </si>
  <si>
    <t>Vortriebsleistung KS 7A.2 in m/KT aus Tabelle U1.3-1.1</t>
  </si>
  <si>
    <t>Vortriebsleistung K 7A.3 in m/KT aus Tabelle U1.3-1.1</t>
  </si>
  <si>
    <t>Vortriebsleistung KS 7A.3 in m/KT aus Tabelle U1.3-1.1</t>
  </si>
  <si>
    <t>Vortriebsleistung Str/S 6A.1 in m/KT aus Tabelle U1.3-1.4</t>
  </si>
  <si>
    <t>m/KT</t>
  </si>
  <si>
    <t>VT-Dauer Strosse/Sohle HR aus Tabelle U1.3-1.6</t>
  </si>
  <si>
    <t>Vortriebsleistung Str/S 6A.2 in m/KT aus Tabelle U1.3-1.4</t>
  </si>
  <si>
    <t>Vortriebsleistung Str/S 6A.2 KSG in m/KT aus Tabelle U1.3-1.4</t>
  </si>
  <si>
    <t>Vortriebsleistung Str/S 7A.1 in m/KT aus Tabelle U1.3-1.4</t>
  </si>
  <si>
    <t>Vortriebsleistung Str/S 7A.1 KSG in m/KT aus Tabelle U1.3-1.4</t>
  </si>
  <si>
    <t>Vortriebsleistung Str/S 7A.2 KSG in m/KT aus Tabelle U1.3-1.4</t>
  </si>
  <si>
    <t>Vortriebsleistung Str/S 7A.2 in m/KT aus Tabelle U1.3-1.4</t>
  </si>
  <si>
    <t>Vortriebsleistung Str/S 7A.3 KSG in m/KT aus Tabelle U1.3-1.4</t>
  </si>
  <si>
    <r>
      <t xml:space="preserve">Die Wertung für das Kriterium Robustheit erfolgt anhand der Differenz Δ des auf die beschriebene Weise ermittelten fiktiven maximalen Netto-Angebotspreises zum fiktiven minimalen Netto-Angebotspreis. Beträgt die Differenz Δ gleich oder weniger als </t>
    </r>
    <r>
      <rPr>
        <b/>
        <sz val="11"/>
        <rFont val="Arial"/>
        <family val="2"/>
      </rPr>
      <t>9.000.000,00 €,</t>
    </r>
    <r>
      <rPr>
        <sz val="11"/>
        <rFont val="Arial"/>
        <family val="2"/>
      </rPr>
      <t xml:space="preserve"> erhält das Angebot 10,000 Wertungspunkte, beträgt die Differenz Δ gleich oder mehr als </t>
    </r>
    <r>
      <rPr>
        <b/>
        <sz val="11"/>
        <rFont val="Arial"/>
        <family val="2"/>
      </rPr>
      <t>18.000.000,00 €</t>
    </r>
    <r>
      <rPr>
        <sz val="11"/>
        <rFont val="Arial"/>
        <family val="2"/>
      </rPr>
      <t>, erhält das Angebot 0,000 Wertungspunkte. Die Wertungspunkte aller anderen Wertungsssummen werden durch lineare Interpolation mit drei Nachkommastellen ermittelt.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</si>
</sst>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43" formatCode="_-* #,##0.00_-;\-* #,##0.00_-;_-* &quot;-&quot;??_-;_-@_-"/>
    <numFmt numFmtId="164" formatCode="0.0"/>
    <numFmt numFmtId="165" formatCode="_-* #,##0.00\ [$€]_-;\-* #,##0.00\ [$€]_-;_-* &quot;-&quot;??\ [$€]_-;_-@_-"/>
    <numFmt numFmtId="166" formatCode="0.00000"/>
    <numFmt numFmtId="167" formatCode="0.000"/>
    <numFmt numFmtId="168" formatCode="#,##0.000"/>
    <numFmt numFmtId="169" formatCode="#,##0.0000"/>
    <numFmt numFmtId="170" formatCode="0.0000"/>
  </numFmts>
  <fonts count="33">
    <font>
      <sz val="11"/>
      <color theme="1"/>
      <name val="Arial"/>
      <family val="2"/>
    </font>
    <font>
      <sz val="10"/>
      <color theme="1"/>
      <name val="Arial"/>
      <family val="2"/>
    </font>
    <font>
      <sz val="9"/>
      <color theme="1"/>
      <name val="Arial"/>
      <family val="2"/>
    </font>
    <font>
      <b/>
      <sz val="9"/>
      <color theme="1"/>
      <name val="Arial"/>
      <family val="2"/>
    </font>
    <font>
      <b/>
      <sz val="9"/>
      <color theme="1"/>
      <name val="Symbol"/>
      <family val="1"/>
      <charset val="2"/>
    </font>
    <font>
      <b/>
      <sz val="11"/>
      <color theme="1"/>
      <name val="Arial"/>
      <family val="2"/>
    </font>
    <font>
      <sz val="11"/>
      <name val="Arial"/>
      <family val="2"/>
    </font>
    <font>
      <sz val="10"/>
      <name val="Arial"/>
      <family val="2"/>
    </font>
    <font>
      <b/>
      <sz val="9"/>
      <name val="Arial"/>
      <family val="2"/>
    </font>
    <font>
      <sz val="9"/>
      <name val="Arial"/>
      <family val="2"/>
    </font>
    <font>
      <b/>
      <sz val="11"/>
      <name val="Arial"/>
      <family val="2"/>
    </font>
    <font>
      <sz val="8"/>
      <name val="Arial"/>
      <family val="2"/>
    </font>
    <font>
      <b/>
      <sz val="9"/>
      <color theme="0" tint="-0.499984740745262"/>
      <name val="Arial"/>
      <family val="2"/>
    </font>
    <font>
      <sz val="9"/>
      <color theme="0" tint="-0.499984740745262"/>
      <name val="Arial"/>
      <family val="2"/>
    </font>
    <font>
      <sz val="11"/>
      <color theme="0" tint="-0.499984740745262"/>
      <name val="Arial"/>
      <family val="2"/>
    </font>
    <font>
      <b/>
      <sz val="11"/>
      <color theme="0" tint="-0.499984740745262"/>
      <name val="Arial"/>
      <family val="2"/>
    </font>
    <font>
      <b/>
      <sz val="9"/>
      <color theme="1"/>
      <name val="Arial"/>
      <family val="1"/>
      <charset val="2"/>
    </font>
    <font>
      <sz val="11"/>
      <color rgb="FFFF0000"/>
      <name val="Arial"/>
      <family val="2"/>
    </font>
    <font>
      <sz val="9"/>
      <color rgb="FFFF0000"/>
      <name val="Arial"/>
      <family val="2"/>
    </font>
    <font>
      <sz val="8"/>
      <color theme="1"/>
      <name val="Arial"/>
      <family val="2"/>
    </font>
    <font>
      <sz val="7.8"/>
      <name val="Arial"/>
      <family val="2"/>
    </font>
    <font>
      <sz val="11"/>
      <color theme="1"/>
      <name val="Arial"/>
      <family val="2"/>
    </font>
    <font>
      <b/>
      <sz val="11"/>
      <color theme="1"/>
      <name val="Calibri"/>
      <family val="2"/>
      <scheme val="minor"/>
    </font>
    <font>
      <b/>
      <sz val="10"/>
      <color theme="1"/>
      <name val="Arial"/>
      <family val="2"/>
    </font>
    <font>
      <sz val="10"/>
      <color rgb="FFFF0000"/>
      <name val="Arial"/>
      <family val="2"/>
    </font>
    <font>
      <i/>
      <sz val="11"/>
      <color theme="1"/>
      <name val="Arial"/>
      <family val="2"/>
    </font>
    <font>
      <sz val="11"/>
      <color theme="0" tint="-0.34998626667073579"/>
      <name val="Arial"/>
      <family val="2"/>
    </font>
    <font>
      <sz val="11"/>
      <color theme="1"/>
      <name val="Symbol"/>
      <family val="1"/>
      <charset val="2"/>
    </font>
    <font>
      <u/>
      <sz val="11"/>
      <color theme="1"/>
      <name val="Arial"/>
      <family val="2"/>
    </font>
    <font>
      <b/>
      <u val="double"/>
      <sz val="11"/>
      <color theme="1"/>
      <name val="Arial"/>
      <family val="2"/>
    </font>
    <font>
      <b/>
      <sz val="10"/>
      <name val="Arial"/>
      <family val="2"/>
    </font>
    <font>
      <b/>
      <sz val="11"/>
      <color theme="1"/>
      <name val="Symbol"/>
      <family val="1"/>
      <charset val="2"/>
    </font>
    <font>
      <u/>
      <sz val="1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6" fillId="0" borderId="0"/>
    <xf numFmtId="0" fontId="7" fillId="0" borderId="0"/>
    <xf numFmtId="43"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4" fontId="21" fillId="0" borderId="0" applyFont="0" applyFill="0" applyBorder="0" applyAlignment="0" applyProtection="0"/>
  </cellStyleXfs>
  <cellXfs count="278">
    <xf numFmtId="0" fontId="0" fillId="0" borderId="0" xfId="0"/>
    <xf numFmtId="0" fontId="0" fillId="0" borderId="0" xfId="0" applyAlignment="1">
      <alignment vertical="center" wrapText="1"/>
    </xf>
    <xf numFmtId="0" fontId="2" fillId="0" borderId="0" xfId="0" applyFont="1"/>
    <xf numFmtId="0" fontId="3" fillId="0" borderId="0" xfId="0" applyFont="1"/>
    <xf numFmtId="0" fontId="3" fillId="0" borderId="3" xfId="0" applyFont="1" applyBorder="1" applyAlignment="1">
      <alignment vertical="center" wrapText="1"/>
    </xf>
    <xf numFmtId="0" fontId="3" fillId="3" borderId="1" xfId="0" applyFont="1" applyFill="1" applyBorder="1" applyAlignment="1">
      <alignment horizontal="center" vertical="center" wrapText="1"/>
    </xf>
    <xf numFmtId="0" fontId="2" fillId="0" borderId="3" xfId="0" applyFont="1" applyBorder="1" applyAlignment="1">
      <alignment vertical="center"/>
    </xf>
    <xf numFmtId="0" fontId="2" fillId="0" borderId="1" xfId="0" applyFont="1" applyBorder="1" applyAlignment="1">
      <alignment vertical="center"/>
    </xf>
    <xf numFmtId="0" fontId="0" fillId="0" borderId="14" xfId="0" applyBorder="1"/>
    <xf numFmtId="4" fontId="0" fillId="0" borderId="0" xfId="0" applyNumberFormat="1" applyAlignment="1">
      <alignment vertical="center" wrapText="1"/>
    </xf>
    <xf numFmtId="4" fontId="2" fillId="0" borderId="4" xfId="0" applyNumberFormat="1" applyFont="1" applyBorder="1" applyAlignment="1">
      <alignment vertical="center" wrapText="1"/>
    </xf>
    <xf numFmtId="4" fontId="3" fillId="3" borderId="1" xfId="0" applyNumberFormat="1" applyFont="1" applyFill="1" applyBorder="1" applyAlignment="1">
      <alignment horizontal="center" vertical="center" wrapText="1"/>
    </xf>
    <xf numFmtId="4" fontId="2" fillId="0" borderId="3" xfId="0" applyNumberFormat="1" applyFont="1" applyBorder="1" applyAlignment="1">
      <alignment horizontal="center" vertical="center" wrapText="1"/>
    </xf>
    <xf numFmtId="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4" fontId="2" fillId="0" borderId="3" xfId="0" applyNumberFormat="1" applyFont="1" applyBorder="1" applyAlignment="1">
      <alignment horizontal="center" vertical="center"/>
    </xf>
    <xf numFmtId="4" fontId="2" fillId="0" borderId="1" xfId="0" applyNumberFormat="1" applyFont="1" applyBorder="1" applyAlignment="1">
      <alignment vertical="center"/>
    </xf>
    <xf numFmtId="4" fontId="0" fillId="0" borderId="0" xfId="0" applyNumberFormat="1"/>
    <xf numFmtId="4" fontId="5" fillId="0" borderId="9" xfId="0" applyNumberFormat="1" applyFont="1" applyBorder="1"/>
    <xf numFmtId="4" fontId="0" fillId="0" borderId="12" xfId="0" applyNumberFormat="1" applyBorder="1"/>
    <xf numFmtId="0" fontId="8" fillId="3" borderId="1" xfId="0" applyFont="1" applyFill="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1" xfId="0" applyFont="1" applyBorder="1" applyAlignment="1">
      <alignment vertical="center"/>
    </xf>
    <xf numFmtId="0" fontId="8" fillId="0" borderId="1" xfId="0" applyFont="1" applyBorder="1" applyAlignment="1">
      <alignmen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xf>
    <xf numFmtId="0" fontId="6" fillId="0" borderId="12" xfId="0" applyFont="1" applyBorder="1"/>
    <xf numFmtId="0" fontId="10" fillId="0" borderId="9" xfId="0" applyFont="1" applyBorder="1"/>
    <xf numFmtId="0" fontId="6" fillId="0" borderId="0" xfId="0" applyFont="1"/>
    <xf numFmtId="4" fontId="2" fillId="0" borderId="3" xfId="0" applyNumberFormat="1" applyFont="1" applyBorder="1" applyAlignment="1">
      <alignment vertical="center"/>
    </xf>
    <xf numFmtId="0" fontId="0" fillId="0" borderId="4" xfId="0" applyBorder="1"/>
    <xf numFmtId="4" fontId="2" fillId="0" borderId="4" xfId="0" applyNumberFormat="1" applyFont="1" applyBorder="1" applyAlignment="1">
      <alignment horizontal="center" vertical="center" wrapText="1"/>
    </xf>
    <xf numFmtId="4" fontId="2" fillId="0" borderId="4" xfId="0" applyNumberFormat="1" applyFont="1" applyBorder="1" applyAlignment="1">
      <alignment vertical="center"/>
    </xf>
    <xf numFmtId="0" fontId="2" fillId="0" borderId="4"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4" fontId="2" fillId="0" borderId="4" xfId="0" applyNumberFormat="1" applyFont="1" applyBorder="1" applyAlignment="1">
      <alignment horizontal="center" vertical="center"/>
    </xf>
    <xf numFmtId="3" fontId="9" fillId="0" borderId="4" xfId="0" applyNumberFormat="1" applyFont="1" applyBorder="1" applyAlignment="1">
      <alignment vertical="center"/>
    </xf>
    <xf numFmtId="0" fontId="2" fillId="0" borderId="10" xfId="0" applyFont="1" applyBorder="1" applyAlignment="1">
      <alignment vertical="center"/>
    </xf>
    <xf numFmtId="0" fontId="8" fillId="0" borderId="3"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9" fillId="0" borderId="1" xfId="0" applyFont="1" applyBorder="1" applyAlignment="1">
      <alignment horizontal="center" vertical="center" wrapText="1"/>
    </xf>
    <xf numFmtId="4" fontId="8" fillId="3" borderId="1" xfId="0" applyNumberFormat="1" applyFont="1" applyFill="1" applyBorder="1" applyAlignment="1">
      <alignment horizontal="center" vertical="center" wrapText="1"/>
    </xf>
    <xf numFmtId="4" fontId="9" fillId="0" borderId="4" xfId="0" applyNumberFormat="1" applyFont="1" applyBorder="1" applyAlignment="1">
      <alignment vertical="center"/>
    </xf>
    <xf numFmtId="4" fontId="9" fillId="0" borderId="1" xfId="0" applyNumberFormat="1" applyFont="1" applyBorder="1" applyAlignment="1">
      <alignment vertical="center"/>
    </xf>
    <xf numFmtId="4" fontId="9" fillId="0" borderId="3" xfId="0" applyNumberFormat="1" applyFont="1" applyBorder="1" applyAlignment="1">
      <alignment vertical="center"/>
    </xf>
    <xf numFmtId="4" fontId="6" fillId="0" borderId="0" xfId="0" applyNumberFormat="1" applyFont="1"/>
    <xf numFmtId="0" fontId="12"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2" fontId="13" fillId="2" borderId="4" xfId="0" applyNumberFormat="1" applyFont="1" applyFill="1" applyBorder="1" applyAlignment="1">
      <alignment horizontal="center" vertical="center"/>
    </xf>
    <xf numFmtId="0" fontId="13" fillId="2" borderId="1" xfId="0" applyFont="1" applyFill="1" applyBorder="1" applyAlignment="1">
      <alignment horizontal="center" vertical="center"/>
    </xf>
    <xf numFmtId="2" fontId="13" fillId="2" borderId="2" xfId="0" applyNumberFormat="1" applyFont="1" applyFill="1" applyBorder="1" applyAlignment="1">
      <alignment horizontal="center" vertical="center"/>
    </xf>
    <xf numFmtId="2" fontId="13" fillId="2" borderId="1" xfId="0" applyNumberFormat="1" applyFont="1" applyFill="1" applyBorder="1" applyAlignment="1">
      <alignment horizontal="center" vertical="center"/>
    </xf>
    <xf numFmtId="0" fontId="14" fillId="0" borderId="0" xfId="0" applyFont="1"/>
    <xf numFmtId="0" fontId="9" fillId="0" borderId="2" xfId="0" applyFont="1" applyBorder="1" applyAlignment="1">
      <alignment horizontal="center" vertical="center"/>
    </xf>
    <xf numFmtId="0" fontId="3" fillId="0" borderId="4" xfId="0" applyFont="1" applyBorder="1" applyAlignment="1">
      <alignment vertical="center" wrapText="1"/>
    </xf>
    <xf numFmtId="0" fontId="17" fillId="0" borderId="0" xfId="0" applyFont="1"/>
    <xf numFmtId="0" fontId="18" fillId="0" borderId="4" xfId="0" applyFont="1" applyBorder="1" applyAlignment="1">
      <alignment vertical="center"/>
    </xf>
    <xf numFmtId="0" fontId="17" fillId="0" borderId="4" xfId="0" applyFont="1" applyBorder="1"/>
    <xf numFmtId="0" fontId="18" fillId="0" borderId="1" xfId="0" applyFont="1" applyBorder="1" applyAlignment="1">
      <alignment vertical="center"/>
    </xf>
    <xf numFmtId="4" fontId="18" fillId="0" borderId="1" xfId="0" applyNumberFormat="1" applyFont="1" applyBorder="1" applyAlignment="1">
      <alignment vertical="center"/>
    </xf>
    <xf numFmtId="4" fontId="18" fillId="0" borderId="1" xfId="0" applyNumberFormat="1" applyFont="1" applyBorder="1" applyAlignment="1">
      <alignment horizontal="center" vertical="center"/>
    </xf>
    <xf numFmtId="4" fontId="18" fillId="0" borderId="2" xfId="0" applyNumberFormat="1" applyFont="1" applyBorder="1" applyAlignment="1">
      <alignment horizontal="center" vertical="center"/>
    </xf>
    <xf numFmtId="0" fontId="18" fillId="0" borderId="10" xfId="0" applyFont="1" applyBorder="1" applyAlignment="1">
      <alignment vertical="center"/>
    </xf>
    <xf numFmtId="0" fontId="18" fillId="0" borderId="3" xfId="0" applyFont="1" applyBorder="1" applyAlignment="1">
      <alignment vertical="center"/>
    </xf>
    <xf numFmtId="4" fontId="18" fillId="0" borderId="3" xfId="0" applyNumberFormat="1" applyFont="1" applyBorder="1" applyAlignment="1">
      <alignment vertical="center"/>
    </xf>
    <xf numFmtId="4" fontId="9" fillId="0" borderId="3" xfId="0" applyNumberFormat="1" applyFont="1" applyBorder="1" applyAlignment="1">
      <alignment horizontal="center" vertical="center"/>
    </xf>
    <xf numFmtId="4" fontId="9" fillId="0" borderId="4" xfId="0" applyNumberFormat="1" applyFont="1" applyBorder="1" applyAlignment="1">
      <alignment horizontal="center" vertical="center"/>
    </xf>
    <xf numFmtId="0" fontId="9" fillId="2" borderId="1" xfId="0" applyFont="1" applyFill="1" applyBorder="1" applyAlignment="1">
      <alignment horizontal="center" vertical="center"/>
    </xf>
    <xf numFmtId="4" fontId="9" fillId="0" borderId="1" xfId="0" applyNumberFormat="1" applyFont="1" applyBorder="1" applyAlignment="1">
      <alignment horizontal="center" vertical="center"/>
    </xf>
    <xf numFmtId="164" fontId="2" fillId="0" borderId="10" xfId="0" applyNumberFormat="1" applyFont="1" applyBorder="1" applyAlignment="1">
      <alignment vertical="top"/>
    </xf>
    <xf numFmtId="2" fontId="13" fillId="0" borderId="1" xfId="0" applyNumberFormat="1" applyFont="1" applyBorder="1" applyAlignment="1">
      <alignment horizontal="center" vertical="center"/>
    </xf>
    <xf numFmtId="0" fontId="14" fillId="0" borderId="12" xfId="0" applyFont="1" applyBorder="1"/>
    <xf numFmtId="0" fontId="15" fillId="0" borderId="9" xfId="0" applyFont="1" applyBorder="1"/>
    <xf numFmtId="0" fontId="10" fillId="0" borderId="0" xfId="0" applyFont="1" applyAlignment="1">
      <alignment vertical="top"/>
    </xf>
    <xf numFmtId="0" fontId="0" fillId="0" borderId="0" xfId="0" applyAlignment="1">
      <alignment vertical="top"/>
    </xf>
    <xf numFmtId="0" fontId="6" fillId="0" borderId="0" xfId="0" applyFont="1" applyAlignment="1">
      <alignment vertical="top"/>
    </xf>
    <xf numFmtId="0" fontId="6" fillId="0" borderId="0" xfId="0" applyFont="1" applyAlignment="1">
      <alignment horizontal="left" vertical="center" indent="3"/>
    </xf>
    <xf numFmtId="0" fontId="6" fillId="0" borderId="0" xfId="0" applyFont="1" applyAlignment="1">
      <alignment horizontal="left" vertical="top" indent="2"/>
    </xf>
    <xf numFmtId="0" fontId="6" fillId="0" borderId="0" xfId="0" applyFont="1" applyAlignment="1">
      <alignment vertical="center" wrapText="1"/>
    </xf>
    <xf numFmtId="0" fontId="6" fillId="0" borderId="0" xfId="0" applyFont="1" applyAlignment="1">
      <alignment horizontal="left" vertical="center" wrapText="1" indent="1"/>
    </xf>
    <xf numFmtId="0" fontId="17" fillId="0" borderId="0" xfId="0" applyFont="1" applyAlignment="1">
      <alignment horizontal="left" vertical="center" wrapText="1" indent="1"/>
    </xf>
    <xf numFmtId="0" fontId="9" fillId="0" borderId="1" xfId="0" applyFont="1" applyBorder="1" applyAlignment="1">
      <alignment vertical="center" wrapText="1"/>
    </xf>
    <xf numFmtId="0" fontId="9" fillId="0" borderId="2" xfId="0" applyFont="1" applyBorder="1" applyAlignment="1">
      <alignment vertical="center" wrapText="1"/>
    </xf>
    <xf numFmtId="4" fontId="2" fillId="0" borderId="3" xfId="0" applyNumberFormat="1" applyFont="1" applyBorder="1" applyAlignment="1" applyProtection="1">
      <alignment vertical="center" wrapText="1"/>
      <protection locked="0"/>
    </xf>
    <xf numFmtId="4" fontId="2" fillId="0" borderId="4" xfId="0" applyNumberFormat="1" applyFont="1" applyBorder="1" applyAlignment="1" applyProtection="1">
      <alignment vertical="center"/>
      <protection locked="0"/>
    </xf>
    <xf numFmtId="4" fontId="9" fillId="0" borderId="4" xfId="0" applyNumberFormat="1" applyFont="1" applyBorder="1" applyAlignment="1" applyProtection="1">
      <alignment vertical="center"/>
      <protection locked="0"/>
    </xf>
    <xf numFmtId="4" fontId="2" fillId="0" borderId="3" xfId="0" applyNumberFormat="1" applyFont="1" applyBorder="1" applyAlignment="1" applyProtection="1">
      <alignment vertical="center"/>
      <protection locked="0"/>
    </xf>
    <xf numFmtId="4" fontId="9" fillId="0" borderId="3" xfId="0" applyNumberFormat="1" applyFont="1" applyBorder="1" applyAlignment="1" applyProtection="1">
      <alignment vertical="center"/>
      <protection locked="0"/>
    </xf>
    <xf numFmtId="4" fontId="2" fillId="0" borderId="1" xfId="0" applyNumberFormat="1" applyFont="1" applyBorder="1" applyAlignment="1" applyProtection="1">
      <alignment vertical="center"/>
      <protection locked="0"/>
    </xf>
    <xf numFmtId="4" fontId="2" fillId="0" borderId="2" xfId="0" applyNumberFormat="1" applyFont="1" applyBorder="1" applyAlignment="1" applyProtection="1">
      <alignment vertical="center"/>
      <protection locked="0"/>
    </xf>
    <xf numFmtId="0" fontId="3" fillId="3" borderId="8" xfId="0" applyFont="1" applyFill="1" applyBorder="1" applyAlignment="1">
      <alignment horizontal="center" vertical="center"/>
    </xf>
    <xf numFmtId="4" fontId="9" fillId="0" borderId="3" xfId="0" applyNumberFormat="1" applyFont="1" applyBorder="1" applyAlignment="1">
      <alignment horizontal="right" vertical="center" wrapText="1"/>
    </xf>
    <xf numFmtId="4" fontId="9" fillId="0" borderId="4" xfId="0" applyNumberFormat="1" applyFont="1" applyBorder="1" applyAlignment="1">
      <alignment horizontal="right" vertical="center"/>
    </xf>
    <xf numFmtId="4" fontId="9" fillId="0" borderId="1" xfId="0" applyNumberFormat="1" applyFont="1" applyBorder="1" applyAlignment="1">
      <alignment horizontal="right" vertical="center"/>
    </xf>
    <xf numFmtId="4" fontId="9" fillId="0" borderId="3" xfId="0" applyNumberFormat="1" applyFont="1" applyBorder="1" applyAlignment="1">
      <alignment horizontal="right" vertical="center"/>
    </xf>
    <xf numFmtId="4" fontId="6" fillId="0" borderId="12" xfId="0" applyNumberFormat="1" applyFont="1" applyBorder="1" applyAlignment="1">
      <alignment horizontal="right"/>
    </xf>
    <xf numFmtId="4" fontId="6" fillId="0" borderId="0" xfId="0" applyNumberFormat="1" applyFont="1" applyAlignment="1">
      <alignment horizontal="right"/>
    </xf>
    <xf numFmtId="0" fontId="3" fillId="3" borderId="8" xfId="0" applyFont="1" applyFill="1" applyBorder="1" applyAlignment="1">
      <alignment horizontal="right" vertical="center"/>
    </xf>
    <xf numFmtId="2" fontId="13" fillId="2" borderId="4" xfId="0" applyNumberFormat="1" applyFont="1" applyFill="1" applyBorder="1" applyAlignment="1">
      <alignment horizontal="center" vertical="center" wrapText="1"/>
    </xf>
    <xf numFmtId="0" fontId="6" fillId="0" borderId="0" xfId="0" applyFont="1" applyAlignment="1">
      <alignment horizontal="left" vertical="top" wrapText="1"/>
    </xf>
    <xf numFmtId="4" fontId="9" fillId="0" borderId="2" xfId="0" applyNumberFormat="1" applyFont="1" applyBorder="1" applyAlignment="1">
      <alignment horizontal="right" vertical="center"/>
    </xf>
    <xf numFmtId="0" fontId="6" fillId="0" borderId="0" xfId="0" applyFont="1" applyAlignment="1">
      <alignment vertical="top" wrapText="1"/>
    </xf>
    <xf numFmtId="0" fontId="2" fillId="0" borderId="0" xfId="0" applyFont="1" applyAlignment="1">
      <alignment wrapText="1"/>
    </xf>
    <xf numFmtId="0" fontId="5" fillId="0" borderId="0" xfId="0" applyFont="1" applyAlignment="1">
      <alignment horizontal="left"/>
    </xf>
    <xf numFmtId="0" fontId="10" fillId="0" borderId="0" xfId="0" applyFont="1"/>
    <xf numFmtId="0" fontId="15" fillId="0" borderId="0" xfId="0" applyFont="1"/>
    <xf numFmtId="4" fontId="5" fillId="0" borderId="0" xfId="0" applyNumberFormat="1" applyFont="1"/>
    <xf numFmtId="4" fontId="16" fillId="3" borderId="1" xfId="0" applyNumberFormat="1" applyFont="1" applyFill="1" applyBorder="1" applyAlignment="1">
      <alignment horizontal="center" vertical="center" wrapText="1"/>
    </xf>
    <xf numFmtId="14" fontId="9" fillId="0" borderId="4" xfId="0" quotePrefix="1" applyNumberFormat="1" applyFont="1" applyBorder="1" applyAlignment="1">
      <alignment vertical="center"/>
    </xf>
    <xf numFmtId="0" fontId="9" fillId="0" borderId="3" xfId="0" quotePrefix="1" applyFont="1" applyBorder="1" applyAlignment="1">
      <alignment vertical="center" wrapText="1"/>
    </xf>
    <xf numFmtId="3" fontId="9" fillId="0" borderId="4" xfId="0" quotePrefix="1" applyNumberFormat="1" applyFont="1" applyBorder="1" applyAlignment="1">
      <alignment vertical="center"/>
    </xf>
    <xf numFmtId="0" fontId="2" fillId="0" borderId="4" xfId="0" applyFont="1" applyBorder="1" applyAlignment="1">
      <alignment horizontal="center" vertical="top"/>
    </xf>
    <xf numFmtId="0" fontId="2" fillId="0" borderId="4" xfId="0" applyFont="1" applyBorder="1" applyAlignment="1">
      <alignment horizontal="center" vertical="center"/>
    </xf>
    <xf numFmtId="166" fontId="18" fillId="2" borderId="4" xfId="0" applyNumberFormat="1" applyFont="1" applyFill="1" applyBorder="1" applyAlignment="1">
      <alignment horizontal="center" vertical="center"/>
    </xf>
    <xf numFmtId="164" fontId="2" fillId="0" borderId="4" xfId="0" applyNumberFormat="1" applyFont="1" applyBorder="1" applyAlignment="1">
      <alignment horizontal="center" vertical="top"/>
    </xf>
    <xf numFmtId="0" fontId="9" fillId="0" borderId="4" xfId="0" quotePrefix="1" applyFont="1" applyBorder="1" applyAlignment="1">
      <alignment vertical="center" wrapText="1"/>
    </xf>
    <xf numFmtId="0" fontId="8" fillId="0" borderId="4" xfId="0" applyFont="1" applyBorder="1" applyAlignment="1">
      <alignment vertical="center" wrapText="1"/>
    </xf>
    <xf numFmtId="0" fontId="0" fillId="0" borderId="0" xfId="0" applyAlignment="1">
      <alignment horizontal="center"/>
    </xf>
    <xf numFmtId="0" fontId="5" fillId="0" borderId="0" xfId="0" applyFont="1"/>
    <xf numFmtId="0" fontId="0" fillId="0" borderId="12" xfId="0" applyBorder="1"/>
    <xf numFmtId="0" fontId="1" fillId="0" borderId="14" xfId="0" applyFont="1" applyBorder="1"/>
    <xf numFmtId="0" fontId="1" fillId="0" borderId="12" xfId="0" applyFont="1" applyBorder="1"/>
    <xf numFmtId="0" fontId="1" fillId="0" borderId="12" xfId="0" applyFont="1" applyBorder="1" applyAlignment="1">
      <alignment horizontal="center"/>
    </xf>
    <xf numFmtId="0" fontId="23" fillId="0" borderId="10" xfId="0" applyFont="1" applyBorder="1"/>
    <xf numFmtId="0" fontId="23" fillId="0" borderId="0" xfId="0" applyFont="1"/>
    <xf numFmtId="0" fontId="23" fillId="0" borderId="0" xfId="0" applyFont="1" applyAlignment="1">
      <alignment horizontal="center"/>
    </xf>
    <xf numFmtId="0" fontId="23" fillId="0" borderId="10" xfId="0" applyFont="1" applyBorder="1" applyAlignment="1">
      <alignment horizontal="center"/>
    </xf>
    <xf numFmtId="0" fontId="23" fillId="0" borderId="18" xfId="0" applyFont="1" applyBorder="1" applyAlignment="1">
      <alignment horizontal="center"/>
    </xf>
    <xf numFmtId="0" fontId="1" fillId="0" borderId="10" xfId="0" applyFont="1" applyBorder="1"/>
    <xf numFmtId="0" fontId="1" fillId="0" borderId="0" xfId="0" applyFont="1"/>
    <xf numFmtId="2" fontId="1" fillId="0" borderId="0" xfId="0" applyNumberFormat="1" applyFont="1"/>
    <xf numFmtId="0" fontId="1" fillId="0" borderId="0" xfId="0" applyFont="1" applyAlignment="1">
      <alignment horizontal="center"/>
    </xf>
    <xf numFmtId="44" fontId="24" fillId="0" borderId="10" xfId="8" applyFont="1" applyBorder="1" applyAlignment="1">
      <alignment horizontal="right"/>
    </xf>
    <xf numFmtId="2" fontId="24" fillId="0" borderId="18" xfId="0" applyNumberFormat="1" applyFont="1" applyBorder="1" applyAlignment="1">
      <alignment horizontal="right"/>
    </xf>
    <xf numFmtId="2" fontId="7" fillId="0" borderId="0" xfId="0" applyNumberFormat="1" applyFont="1" applyAlignment="1">
      <alignment horizontal="right"/>
    </xf>
    <xf numFmtId="2" fontId="7" fillId="0" borderId="18" xfId="0" applyNumberFormat="1" applyFont="1" applyBorder="1" applyAlignment="1">
      <alignment horizontal="right"/>
    </xf>
    <xf numFmtId="2" fontId="1" fillId="0" borderId="18" xfId="0" applyNumberFormat="1" applyFont="1" applyBorder="1"/>
    <xf numFmtId="44" fontId="24" fillId="0" borderId="0" xfId="8" applyFont="1" applyBorder="1" applyAlignment="1">
      <alignment horizontal="right"/>
    </xf>
    <xf numFmtId="2" fontId="24" fillId="0" borderId="0" xfId="0" applyNumberFormat="1" applyFont="1" applyAlignment="1">
      <alignment horizontal="right"/>
    </xf>
    <xf numFmtId="0" fontId="1" fillId="0" borderId="11" xfId="0" applyFont="1" applyBorder="1"/>
    <xf numFmtId="0" fontId="23" fillId="0" borderId="9" xfId="0" applyFont="1" applyBorder="1"/>
    <xf numFmtId="2" fontId="23" fillId="0" borderId="9" xfId="0" applyNumberFormat="1" applyFont="1" applyBorder="1"/>
    <xf numFmtId="0" fontId="23" fillId="0" borderId="9" xfId="0" applyFont="1" applyBorder="1" applyAlignment="1">
      <alignment horizontal="center"/>
    </xf>
    <xf numFmtId="0" fontId="23" fillId="0" borderId="11" xfId="0" applyFont="1" applyBorder="1"/>
    <xf numFmtId="2" fontId="23" fillId="0" borderId="6" xfId="0" applyNumberFormat="1" applyFont="1" applyBorder="1"/>
    <xf numFmtId="0" fontId="6" fillId="0" borderId="0" xfId="1"/>
    <xf numFmtId="0" fontId="25" fillId="0" borderId="0" xfId="1" applyFont="1"/>
    <xf numFmtId="0" fontId="6" fillId="0" borderId="0" xfId="1" applyAlignment="1">
      <alignment horizontal="right"/>
    </xf>
    <xf numFmtId="4" fontId="6" fillId="0" borderId="0" xfId="1" applyNumberFormat="1"/>
    <xf numFmtId="167" fontId="6" fillId="0" borderId="0" xfId="1" applyNumberFormat="1"/>
    <xf numFmtId="0" fontId="6" fillId="4" borderId="1" xfId="1" applyFill="1" applyBorder="1" applyAlignment="1">
      <alignment horizontal="center"/>
    </xf>
    <xf numFmtId="0" fontId="6" fillId="4" borderId="1" xfId="1" applyFill="1" applyBorder="1" applyAlignment="1">
      <alignment horizontal="right"/>
    </xf>
    <xf numFmtId="0" fontId="6" fillId="0" borderId="1" xfId="1" quotePrefix="1" applyBorder="1" applyAlignment="1">
      <alignment horizontal="center"/>
    </xf>
    <xf numFmtId="4" fontId="6" fillId="0" borderId="1" xfId="1" applyNumberFormat="1" applyBorder="1"/>
    <xf numFmtId="4" fontId="26" fillId="0" borderId="0" xfId="1" applyNumberFormat="1" applyFont="1"/>
    <xf numFmtId="0" fontId="28" fillId="0" borderId="0" xfId="1" applyFont="1"/>
    <xf numFmtId="0" fontId="5" fillId="0" borderId="0" xfId="1" applyFont="1"/>
    <xf numFmtId="168" fontId="29" fillId="0" borderId="0" xfId="1" applyNumberFormat="1" applyFont="1"/>
    <xf numFmtId="0" fontId="0" fillId="0" borderId="13" xfId="0" applyBorder="1"/>
    <xf numFmtId="4" fontId="1" fillId="0" borderId="10" xfId="0" applyNumberFormat="1" applyFont="1" applyBorder="1"/>
    <xf numFmtId="0" fontId="1" fillId="0" borderId="6" xfId="0" applyFont="1" applyBorder="1"/>
    <xf numFmtId="0" fontId="1" fillId="0" borderId="10" xfId="0" applyFont="1" applyBorder="1" applyAlignment="1">
      <alignment vertical="center"/>
    </xf>
    <xf numFmtId="4" fontId="1" fillId="0" borderId="10" xfId="0" applyNumberFormat="1" applyFont="1" applyBorder="1" applyAlignment="1">
      <alignment vertical="center"/>
    </xf>
    <xf numFmtId="4" fontId="1" fillId="0" borderId="0" xfId="0" applyNumberFormat="1" applyFont="1" applyAlignment="1">
      <alignment vertical="center"/>
    </xf>
    <xf numFmtId="0" fontId="0" fillId="0" borderId="0" xfId="0" applyAlignment="1">
      <alignment vertical="center"/>
    </xf>
    <xf numFmtId="0" fontId="1" fillId="0" borderId="0" xfId="0" applyFont="1" applyAlignment="1">
      <alignment vertical="center" wrapText="1"/>
    </xf>
    <xf numFmtId="2" fontId="1" fillId="0" borderId="0" xfId="0" applyNumberFormat="1" applyFont="1" applyAlignment="1">
      <alignment vertical="center"/>
    </xf>
    <xf numFmtId="0" fontId="1" fillId="0" borderId="0" xfId="0" applyFont="1" applyAlignment="1">
      <alignment horizontal="center" vertical="center"/>
    </xf>
    <xf numFmtId="4" fontId="1" fillId="0" borderId="18" xfId="0" applyNumberFormat="1" applyFont="1" applyBorder="1" applyAlignment="1">
      <alignment vertical="center"/>
    </xf>
    <xf numFmtId="4" fontId="1" fillId="0" borderId="10" xfId="0" applyNumberFormat="1" applyFont="1" applyBorder="1" applyAlignment="1">
      <alignment vertical="center" wrapText="1"/>
    </xf>
    <xf numFmtId="0" fontId="23" fillId="0" borderId="6" xfId="0" applyFont="1" applyBorder="1" applyAlignment="1">
      <alignment horizontal="center"/>
    </xf>
    <xf numFmtId="0" fontId="5" fillId="0" borderId="0" xfId="0" applyFont="1" applyAlignment="1">
      <alignment horizontal="center" vertical="center"/>
    </xf>
    <xf numFmtId="0" fontId="0" fillId="0" borderId="12" xfId="0" applyBorder="1" applyAlignment="1">
      <alignment horizontal="center"/>
    </xf>
    <xf numFmtId="4" fontId="1" fillId="0" borderId="0" xfId="0" applyNumberFormat="1" applyFont="1" applyAlignment="1">
      <alignment horizontal="center" vertical="center"/>
    </xf>
    <xf numFmtId="2" fontId="23" fillId="0" borderId="9" xfId="0" applyNumberFormat="1" applyFont="1" applyBorder="1" applyAlignment="1">
      <alignment horizontal="center"/>
    </xf>
    <xf numFmtId="4" fontId="1" fillId="0" borderId="18" xfId="0" applyNumberFormat="1" applyFont="1" applyBorder="1" applyAlignment="1">
      <alignment horizontal="right" vertical="center"/>
    </xf>
    <xf numFmtId="0" fontId="1" fillId="0" borderId="18" xfId="0" applyFont="1" applyBorder="1" applyAlignment="1">
      <alignment horizontal="right" vertical="center"/>
    </xf>
    <xf numFmtId="4" fontId="22" fillId="0" borderId="18" xfId="0" applyNumberFormat="1" applyFont="1" applyBorder="1" applyAlignment="1">
      <alignment horizontal="center"/>
    </xf>
    <xf numFmtId="4" fontId="1" fillId="0" borderId="18" xfId="0" applyNumberFormat="1" applyFont="1" applyBorder="1"/>
    <xf numFmtId="4" fontId="23" fillId="0" borderId="6" xfId="0" applyNumberFormat="1" applyFont="1" applyBorder="1"/>
    <xf numFmtId="4" fontId="1" fillId="0" borderId="0" xfId="0" applyNumberFormat="1" applyFont="1"/>
    <xf numFmtId="4" fontId="22" fillId="0" borderId="10" xfId="0" applyNumberFormat="1" applyFont="1" applyBorder="1" applyAlignment="1">
      <alignment horizontal="center"/>
    </xf>
    <xf numFmtId="4" fontId="1" fillId="0" borderId="11" xfId="0" applyNumberFormat="1" applyFont="1" applyBorder="1"/>
    <xf numFmtId="0" fontId="5" fillId="0" borderId="0" xfId="0" applyFont="1" applyAlignment="1">
      <alignment horizontal="center"/>
    </xf>
    <xf numFmtId="0" fontId="6" fillId="0" borderId="0" xfId="1" quotePrefix="1" applyAlignment="1">
      <alignment horizontal="left"/>
    </xf>
    <xf numFmtId="2" fontId="0" fillId="0" borderId="0" xfId="0" applyNumberFormat="1"/>
    <xf numFmtId="3" fontId="0" fillId="0" borderId="0" xfId="0" applyNumberFormat="1"/>
    <xf numFmtId="0" fontId="5" fillId="0" borderId="0" xfId="0" applyFont="1" applyAlignment="1">
      <alignment horizontal="right"/>
    </xf>
    <xf numFmtId="0" fontId="0" fillId="0" borderId="0" xfId="0" applyAlignment="1">
      <alignment horizontal="center" vertical="center"/>
    </xf>
    <xf numFmtId="169" fontId="1" fillId="0" borderId="0" xfId="0" applyNumberFormat="1" applyFont="1" applyAlignment="1">
      <alignment horizontal="center" vertical="center"/>
    </xf>
    <xf numFmtId="4" fontId="7" fillId="0" borderId="0" xfId="0" applyNumberFormat="1" applyFont="1" applyAlignment="1">
      <alignment vertical="center"/>
    </xf>
    <xf numFmtId="170" fontId="1" fillId="0" borderId="10" xfId="0" applyNumberFormat="1" applyFont="1" applyBorder="1" applyAlignment="1">
      <alignment horizontal="right"/>
    </xf>
    <xf numFmtId="170" fontId="1" fillId="0" borderId="0" xfId="0" applyNumberFormat="1" applyFont="1" applyAlignment="1">
      <alignment horizontal="right"/>
    </xf>
    <xf numFmtId="2" fontId="23" fillId="0" borderId="0" xfId="0" applyNumberFormat="1" applyFont="1"/>
    <xf numFmtId="4" fontId="23" fillId="0" borderId="0" xfId="0" applyNumberFormat="1" applyFont="1"/>
    <xf numFmtId="0" fontId="30" fillId="0" borderId="11" xfId="0" applyFont="1" applyBorder="1"/>
    <xf numFmtId="2" fontId="30" fillId="0" borderId="6" xfId="0" applyNumberFormat="1" applyFont="1" applyBorder="1"/>
    <xf numFmtId="0" fontId="30" fillId="0" borderId="0" xfId="0" applyFont="1"/>
    <xf numFmtId="2" fontId="30" fillId="0" borderId="0" xfId="0" applyNumberFormat="1" applyFont="1"/>
    <xf numFmtId="170" fontId="24" fillId="0" borderId="10" xfId="0" applyNumberFormat="1" applyFont="1" applyBorder="1" applyAlignment="1">
      <alignment horizontal="right"/>
    </xf>
    <xf numFmtId="4" fontId="10" fillId="0" borderId="19" xfId="1" applyNumberFormat="1" applyFont="1" applyBorder="1"/>
    <xf numFmtId="0" fontId="10" fillId="0" borderId="20" xfId="1" quotePrefix="1" applyFont="1" applyBorder="1" applyAlignment="1">
      <alignment horizontal="left"/>
    </xf>
    <xf numFmtId="0" fontId="0" fillId="0" borderId="10" xfId="0" applyBorder="1"/>
    <xf numFmtId="0" fontId="23" fillId="0" borderId="11" xfId="0" applyFont="1" applyBorder="1" applyAlignment="1">
      <alignment horizontal="center" vertical="center"/>
    </xf>
    <xf numFmtId="0" fontId="23" fillId="0" borderId="9" xfId="0" applyFont="1" applyBorder="1" applyAlignment="1">
      <alignment horizontal="center" vertical="center"/>
    </xf>
    <xf numFmtId="0" fontId="23" fillId="0" borderId="6" xfId="0" applyFont="1" applyBorder="1" applyAlignment="1">
      <alignment horizontal="center" vertical="center"/>
    </xf>
    <xf numFmtId="4" fontId="2" fillId="0" borderId="3" xfId="0" applyNumberFormat="1" applyFont="1" applyBorder="1" applyAlignment="1">
      <alignment horizontal="right" vertical="center"/>
    </xf>
    <xf numFmtId="4" fontId="2" fillId="0" borderId="4" xfId="0" applyNumberFormat="1" applyFont="1" applyBorder="1" applyAlignment="1">
      <alignment horizontal="right" vertical="center"/>
    </xf>
    <xf numFmtId="4" fontId="2" fillId="0" borderId="4" xfId="0" applyNumberFormat="1" applyFont="1" applyBorder="1" applyAlignment="1">
      <alignment horizontal="right" vertical="center" wrapText="1"/>
    </xf>
    <xf numFmtId="4" fontId="2" fillId="0" borderId="1" xfId="0" applyNumberFormat="1" applyFont="1" applyBorder="1" applyAlignment="1">
      <alignment horizontal="right" vertical="center"/>
    </xf>
    <xf numFmtId="4" fontId="2" fillId="0" borderId="2" xfId="0" applyNumberFormat="1" applyFont="1" applyBorder="1" applyAlignment="1">
      <alignment horizontal="right" vertical="center"/>
    </xf>
    <xf numFmtId="168" fontId="8" fillId="3" borderId="1" xfId="0" applyNumberFormat="1" applyFont="1" applyFill="1" applyBorder="1" applyAlignment="1">
      <alignment horizontal="center" vertical="center" wrapText="1"/>
    </xf>
    <xf numFmtId="168" fontId="9" fillId="0" borderId="1" xfId="0" applyNumberFormat="1" applyFont="1" applyBorder="1" applyAlignment="1">
      <alignment vertical="center" wrapText="1"/>
    </xf>
    <xf numFmtId="168" fontId="9" fillId="0" borderId="4" xfId="0" applyNumberFormat="1" applyFont="1" applyBorder="1" applyAlignment="1">
      <alignment vertical="center" wrapText="1"/>
    </xf>
    <xf numFmtId="168" fontId="2" fillId="0" borderId="4" xfId="0" applyNumberFormat="1" applyFont="1" applyBorder="1" applyAlignment="1" applyProtection="1">
      <alignment vertical="center"/>
      <protection locked="0"/>
    </xf>
    <xf numFmtId="168" fontId="9" fillId="0" borderId="1" xfId="0" applyNumberFormat="1" applyFont="1" applyBorder="1" applyAlignment="1">
      <alignment vertical="center"/>
    </xf>
    <xf numFmtId="168" fontId="9" fillId="0" borderId="4" xfId="0" applyNumberFormat="1" applyFont="1" applyBorder="1" applyAlignment="1">
      <alignment vertical="center"/>
    </xf>
    <xf numFmtId="168" fontId="9" fillId="0" borderId="3" xfId="0" applyNumberFormat="1" applyFont="1" applyBorder="1" applyAlignment="1">
      <alignment vertical="center"/>
    </xf>
    <xf numFmtId="168" fontId="6" fillId="0" borderId="12" xfId="0" applyNumberFormat="1" applyFont="1" applyBorder="1"/>
    <xf numFmtId="168" fontId="10" fillId="0" borderId="9" xfId="0" applyNumberFormat="1" applyFont="1" applyBorder="1"/>
    <xf numFmtId="168" fontId="10" fillId="0" borderId="0" xfId="0" applyNumberFormat="1" applyFont="1"/>
    <xf numFmtId="168" fontId="6" fillId="0" borderId="0" xfId="0" applyNumberFormat="1" applyFont="1"/>
    <xf numFmtId="0" fontId="5" fillId="0" borderId="14" xfId="0" applyFont="1" applyBorder="1"/>
    <xf numFmtId="0" fontId="5" fillId="0" borderId="12" xfId="0" applyFont="1" applyBorder="1"/>
    <xf numFmtId="0" fontId="5" fillId="0" borderId="11" xfId="0" applyFont="1" applyBorder="1"/>
    <xf numFmtId="0" fontId="5" fillId="0" borderId="9" xfId="0" applyFont="1" applyBorder="1"/>
    <xf numFmtId="2" fontId="13" fillId="2" borderId="10" xfId="0" applyNumberFormat="1" applyFont="1" applyFill="1" applyBorder="1" applyAlignment="1">
      <alignment horizontal="center" vertical="center"/>
    </xf>
    <xf numFmtId="4" fontId="9" fillId="0" borderId="18" xfId="0" applyNumberFormat="1" applyFont="1" applyBorder="1" applyAlignment="1">
      <alignment horizontal="right" vertical="center"/>
    </xf>
    <xf numFmtId="4" fontId="18" fillId="0" borderId="1" xfId="0" applyNumberFormat="1" applyFont="1" applyBorder="1" applyAlignment="1">
      <alignment horizontal="right" vertical="center"/>
    </xf>
    <xf numFmtId="4" fontId="18" fillId="0" borderId="3" xfId="0" applyNumberFormat="1" applyFont="1" applyBorder="1" applyAlignment="1">
      <alignment horizontal="right" vertical="center"/>
    </xf>
    <xf numFmtId="2" fontId="13" fillId="2" borderId="7" xfId="0" applyNumberFormat="1" applyFont="1" applyFill="1" applyBorder="1" applyAlignment="1">
      <alignment horizontal="center" vertical="center"/>
    </xf>
    <xf numFmtId="4" fontId="18" fillId="0" borderId="2" xfId="0" applyNumberFormat="1" applyFont="1" applyBorder="1" applyAlignment="1">
      <alignment horizontal="right" vertical="center"/>
    </xf>
    <xf numFmtId="4" fontId="2" fillId="0" borderId="13" xfId="0" applyNumberFormat="1" applyFont="1" applyBorder="1" applyAlignment="1">
      <alignment horizontal="right"/>
    </xf>
    <xf numFmtId="4" fontId="3" fillId="0" borderId="6" xfId="0" applyNumberFormat="1" applyFont="1" applyBorder="1" applyAlignment="1">
      <alignment horizontal="right"/>
    </xf>
    <xf numFmtId="4" fontId="2" fillId="0" borderId="0" xfId="0" applyNumberFormat="1" applyFont="1" applyAlignment="1">
      <alignment horizontal="right"/>
    </xf>
    <xf numFmtId="4" fontId="0" fillId="0" borderId="0" xfId="0" applyNumberFormat="1" applyAlignment="1">
      <alignment horizontal="center"/>
    </xf>
    <xf numFmtId="4" fontId="11" fillId="0" borderId="4" xfId="0" applyNumberFormat="1" applyFont="1" applyBorder="1" applyAlignment="1">
      <alignment horizontal="left" vertical="center"/>
    </xf>
    <xf numFmtId="168" fontId="2" fillId="0" borderId="4" xfId="0" applyNumberFormat="1" applyFont="1" applyBorder="1" applyAlignment="1">
      <alignment vertical="center"/>
    </xf>
    <xf numFmtId="0" fontId="1" fillId="0" borderId="0" xfId="0" applyFont="1" applyAlignment="1">
      <alignment vertical="center"/>
    </xf>
    <xf numFmtId="4" fontId="10" fillId="0" borderId="0" xfId="1" applyNumberFormat="1" applyFont="1"/>
    <xf numFmtId="0" fontId="6" fillId="0" borderId="0" xfId="0" applyFont="1" applyAlignment="1">
      <alignment horizontal="left" vertical="center" wrapText="1" indent="1"/>
    </xf>
    <xf numFmtId="0" fontId="6" fillId="0" borderId="0" xfId="0" applyFont="1" applyAlignment="1">
      <alignment horizontal="left" vertical="center" wrapText="1" indent="3"/>
    </xf>
    <xf numFmtId="0" fontId="32" fillId="0" borderId="0" xfId="0" applyFont="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 xfId="0" applyFont="1" applyFill="1" applyBorder="1" applyAlignment="1">
      <alignment horizontal="center" vertical="center"/>
    </xf>
    <xf numFmtId="4" fontId="3" fillId="3" borderId="7" xfId="0" applyNumberFormat="1" applyFont="1" applyFill="1" applyBorder="1" applyAlignment="1">
      <alignment horizontal="center" vertical="center"/>
    </xf>
    <xf numFmtId="4" fontId="3" fillId="3" borderId="8" xfId="0" applyNumberFormat="1" applyFont="1" applyFill="1" applyBorder="1" applyAlignment="1">
      <alignment horizontal="center" vertical="center"/>
    </xf>
    <xf numFmtId="4" fontId="3" fillId="3" borderId="5" xfId="0" applyNumberFormat="1" applyFont="1" applyFill="1" applyBorder="1" applyAlignment="1">
      <alignment horizontal="center" vertical="center"/>
    </xf>
    <xf numFmtId="0" fontId="0" fillId="0" borderId="0" xfId="0" applyAlignment="1">
      <alignment horizontal="left" vertical="top" wrapText="1"/>
    </xf>
    <xf numFmtId="4" fontId="11" fillId="0" borderId="9" xfId="0" applyNumberFormat="1" applyFont="1" applyBorder="1" applyAlignment="1">
      <alignment horizontal="left" wrapText="1"/>
    </xf>
    <xf numFmtId="0" fontId="5" fillId="0" borderId="14" xfId="0" applyFont="1" applyBorder="1" applyAlignment="1">
      <alignment horizontal="left"/>
    </xf>
    <xf numFmtId="0" fontId="5" fillId="0" borderId="12" xfId="0" applyFont="1" applyBorder="1" applyAlignment="1">
      <alignment horizontal="left"/>
    </xf>
    <xf numFmtId="0" fontId="5" fillId="0" borderId="11" xfId="0" applyFont="1" applyBorder="1" applyAlignment="1">
      <alignment horizontal="left"/>
    </xf>
    <xf numFmtId="0" fontId="5" fillId="0" borderId="9" xfId="0" applyFont="1" applyBorder="1" applyAlignment="1">
      <alignment horizontal="left"/>
    </xf>
    <xf numFmtId="4" fontId="11" fillId="0" borderId="12" xfId="0" applyNumberFormat="1" applyFont="1" applyBorder="1" applyAlignment="1">
      <alignment horizontal="left" wrapText="1"/>
    </xf>
    <xf numFmtId="0" fontId="1" fillId="0" borderId="0" xfId="0" applyFont="1" applyAlignment="1">
      <alignment horizontal="left" vertical="center" wrapText="1"/>
    </xf>
    <xf numFmtId="2" fontId="0" fillId="0" borderId="0" xfId="0" applyNumberFormat="1" applyAlignment="1">
      <alignment horizontal="center" vertical="center"/>
    </xf>
    <xf numFmtId="4" fontId="1" fillId="0" borderId="18" xfId="0" applyNumberFormat="1" applyFont="1" applyBorder="1" applyAlignment="1">
      <alignment horizontal="right" vertical="center"/>
    </xf>
    <xf numFmtId="0" fontId="23" fillId="0" borderId="14" xfId="0" applyFont="1" applyBorder="1" applyAlignment="1">
      <alignment horizontal="center"/>
    </xf>
    <xf numFmtId="0" fontId="23" fillId="0" borderId="12" xfId="0" applyFont="1" applyBorder="1" applyAlignment="1">
      <alignment horizontal="center"/>
    </xf>
    <xf numFmtId="0" fontId="23" fillId="0" borderId="13" xfId="0" applyFont="1" applyBorder="1" applyAlignment="1">
      <alignment horizontal="center"/>
    </xf>
    <xf numFmtId="2"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5" xfId="0" applyFont="1" applyBorder="1" applyAlignment="1">
      <alignment horizontal="center" vertical="center"/>
    </xf>
  </cellXfs>
  <cellStyles count="9">
    <cellStyle name="Dezimal 2" xfId="3" xr:uid="{73AF26A8-90CD-4A25-9F0A-363B9819B177}"/>
    <cellStyle name="Dezimal 2 2" xfId="7" xr:uid="{CD255989-246C-45DA-B269-B8BC086BE3BC}"/>
    <cellStyle name="Euro" xfId="4" xr:uid="{7F9C9190-F6EA-4E8C-8610-1249694CAB73}"/>
    <cellStyle name="Komma 2" xfId="5" xr:uid="{5E9DC291-7188-4F57-A10E-36DA7DBFB91E}"/>
    <cellStyle name="Standard" xfId="0" builtinId="0"/>
    <cellStyle name="Standard 2" xfId="1" xr:uid="{00000000-0005-0000-0000-000001000000}"/>
    <cellStyle name="Standard 2 2" xfId="6" xr:uid="{26947634-E569-4A17-A2EA-C06F24DD050B}"/>
    <cellStyle name="Standard 3" xfId="2" xr:uid="{37D0DC60-47CF-4E4E-BC33-577D8D5A06D5}"/>
    <cellStyle name="Währung" xfId="8" builtinId="4"/>
  </cellStyles>
  <dxfs count="51">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
      <fill>
        <patternFill>
          <bgColor rgb="FFFFFF00"/>
        </patternFill>
      </fill>
    </dxf>
    <dxf>
      <fill>
        <patternFill patternType="solid">
          <fgColor rgb="FFFF0000"/>
          <bgColor rgb="FFFFFF00"/>
        </patternFill>
      </fill>
    </dxf>
    <dxf>
      <fill>
        <patternFill patternType="solid">
          <fgColor rgb="FFFF0000"/>
          <bgColor rgb="FFFFFF00"/>
        </patternFill>
      </fill>
    </dxf>
    <dxf>
      <fill>
        <patternFill patternType="solid">
          <fgColor rgb="FFFF00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Wertungspunkte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smoothMarker"/>
        <c:varyColors val="0"/>
        <c:ser>
          <c:idx val="0"/>
          <c:order val="0"/>
          <c:tx>
            <c:strRef>
              <c:f>'1.3-16 Wertungspunkte'!$H$18</c:f>
              <c:strCache>
                <c:ptCount val="1"/>
                <c:pt idx="0">
                  <c:v>D in Mio €</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'1.3-16 Wertungspunkte'!$H$19:$H$22</c:f>
              <c:numCache>
                <c:formatCode>#,##0</c:formatCode>
                <c:ptCount val="4"/>
                <c:pt idx="0">
                  <c:v>0</c:v>
                </c:pt>
                <c:pt idx="1">
                  <c:v>9000000</c:v>
                </c:pt>
                <c:pt idx="2">
                  <c:v>18000000</c:v>
                </c:pt>
                <c:pt idx="3">
                  <c:v>22000000</c:v>
                </c:pt>
              </c:numCache>
            </c:numRef>
          </c:xVal>
          <c:yVal>
            <c:numRef>
              <c:f>'1.3-16 Wertungspunkte'!$I$19:$I$22</c:f>
              <c:numCache>
                <c:formatCode>0.00</c:formatCode>
                <c:ptCount val="4"/>
                <c:pt idx="0">
                  <c:v>10</c:v>
                </c:pt>
                <c:pt idx="1">
                  <c:v>10</c:v>
                </c:pt>
                <c:pt idx="2">
                  <c:v>0</c:v>
                </c:pt>
                <c:pt idx="3">
                  <c:v>0</c:v>
                </c:pt>
              </c:numCache>
            </c:numRef>
          </c:yVal>
          <c:smooth val="0"/>
          <c:extLst>
            <c:ext xmlns:c16="http://schemas.microsoft.com/office/drawing/2014/chart" uri="{C3380CC4-5D6E-409C-BE32-E72D297353CC}">
              <c16:uniqueId val="{00000000-6C01-480F-9697-1A6F6E43DAE3}"/>
            </c:ext>
          </c:extLst>
        </c:ser>
        <c:ser>
          <c:idx val="1"/>
          <c:order val="1"/>
          <c:tx>
            <c:v>Bieter "aktuell"</c:v>
          </c:tx>
          <c:spPr>
            <a:ln w="19050" cap="sq">
              <a:solidFill>
                <a:schemeClr val="accent2"/>
              </a:solidFill>
              <a:round/>
            </a:ln>
            <a:effectLst/>
          </c:spPr>
          <c:marker>
            <c:symbol val="circle"/>
            <c:size val="5"/>
            <c:spPr>
              <a:solidFill>
                <a:schemeClr val="accent2"/>
              </a:solidFill>
              <a:ln w="9525">
                <a:solidFill>
                  <a:schemeClr val="accent2"/>
                </a:solidFill>
              </a:ln>
              <a:effectLst/>
            </c:spPr>
          </c:marker>
          <c:dLbls>
            <c:numFmt formatCode="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de-DE"/>
              </a:p>
            </c:txPr>
            <c:showLegendKey val="0"/>
            <c:showVal val="1"/>
            <c:showCatName val="0"/>
            <c:showSerName val="1"/>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1"/>
                <c15:leaderLines>
                  <c:spPr>
                    <a:ln w="9525" cap="flat" cmpd="sng" algn="ctr">
                      <a:solidFill>
                        <a:schemeClr val="tx1">
                          <a:lumMod val="35000"/>
                          <a:lumOff val="65000"/>
                        </a:schemeClr>
                      </a:solidFill>
                      <a:round/>
                    </a:ln>
                    <a:effectLst/>
                  </c:spPr>
                </c15:leaderLines>
              </c:ext>
            </c:extLst>
          </c:dLbls>
          <c:xVal>
            <c:numRef>
              <c:f>'1.3-16 Wertungspunkte'!$D$11</c:f>
              <c:numCache>
                <c:formatCode>#,##0.00</c:formatCode>
                <c:ptCount val="1"/>
                <c:pt idx="0">
                  <c:v>400872.3507495097</c:v>
                </c:pt>
              </c:numCache>
            </c:numRef>
          </c:xVal>
          <c:yVal>
            <c:numRef>
              <c:f>'1.3-16 Wertungspunkte'!$D$14</c:f>
              <c:numCache>
                <c:formatCode>#,##0.000</c:formatCode>
                <c:ptCount val="1"/>
                <c:pt idx="0">
                  <c:v>10</c:v>
                </c:pt>
              </c:numCache>
            </c:numRef>
          </c:yVal>
          <c:smooth val="0"/>
          <c:extLst>
            <c:ext xmlns:c16="http://schemas.microsoft.com/office/drawing/2014/chart" uri="{C3380CC4-5D6E-409C-BE32-E72D297353CC}">
              <c16:uniqueId val="{00000001-6C01-480F-9697-1A6F6E43DAE3}"/>
            </c:ext>
          </c:extLst>
        </c:ser>
        <c:dLbls>
          <c:showLegendKey val="0"/>
          <c:showVal val="0"/>
          <c:showCatName val="0"/>
          <c:showSerName val="0"/>
          <c:showPercent val="0"/>
          <c:showBubbleSize val="0"/>
        </c:dLbls>
        <c:axId val="1691490320"/>
        <c:axId val="1691489360"/>
      </c:scatterChart>
      <c:valAx>
        <c:axId val="16914903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Δ</a:t>
                </a:r>
                <a:r>
                  <a:rPr lang="de-DE" baseline="0"/>
                  <a:t> </a:t>
                </a:r>
                <a:r>
                  <a:rPr lang="de-DE"/>
                  <a:t>in Mio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91489360"/>
        <c:crosses val="autoZero"/>
        <c:crossBetween val="midCat"/>
        <c:dispUnits>
          <c:builtInUnit val="millions"/>
        </c:dispUnits>
      </c:valAx>
      <c:valAx>
        <c:axId val="169148936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Wertungspunkte Kriterium "X"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91490320"/>
        <c:crossesAt val="0"/>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5875"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28576</xdr:colOff>
      <xdr:row>16</xdr:row>
      <xdr:rowOff>4761</xdr:rowOff>
    </xdr:from>
    <xdr:to>
      <xdr:col>4</xdr:col>
      <xdr:colOff>800100</xdr:colOff>
      <xdr:row>35</xdr:row>
      <xdr:rowOff>47624</xdr:rowOff>
    </xdr:to>
    <xdr:graphicFrame macro="">
      <xdr:nvGraphicFramePr>
        <xdr:cNvPr id="2" name="Diagramm 1">
          <a:extLst>
            <a:ext uri="{FF2B5EF4-FFF2-40B4-BE49-F238E27FC236}">
              <a16:creationId xmlns:a16="http://schemas.microsoft.com/office/drawing/2014/main" id="{4E106AF5-2FE5-4DBC-B078-DDDD1BB26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5629-11CE-4B64-91D7-F41750C530B4}">
  <sheetPr>
    <tabColor theme="6"/>
  </sheetPr>
  <dimension ref="A1:I15"/>
  <sheetViews>
    <sheetView showGridLines="0" view="pageBreakPreview" topLeftCell="A6" zoomScaleNormal="100" zoomScaleSheetLayoutView="100" workbookViewId="0">
      <selection activeCell="H14" sqref="H14"/>
    </sheetView>
  </sheetViews>
  <sheetFormatPr baseColWidth="10" defaultColWidth="11.25" defaultRowHeight="14.25"/>
  <cols>
    <col min="1" max="1" width="10.125" style="1" customWidth="1"/>
    <col min="2" max="2" width="18" style="1" customWidth="1"/>
    <col min="3" max="3" width="15.5" style="1" customWidth="1"/>
    <col min="4" max="4" width="15.25" style="1" customWidth="1"/>
    <col min="5" max="5" width="12.625" style="1" customWidth="1"/>
    <col min="6" max="6" width="17" style="9" customWidth="1"/>
    <col min="7" max="7" width="12.75" style="9" customWidth="1"/>
    <col min="8" max="8" width="21" style="9" customWidth="1"/>
    <col min="9" max="9" width="10.375" style="9" customWidth="1"/>
  </cols>
  <sheetData>
    <row r="1" spans="1:9" ht="7.5" customHeight="1"/>
    <row r="2" spans="1:9" s="3" customFormat="1" ht="17.25" customHeight="1">
      <c r="A2" s="77" t="s">
        <v>144</v>
      </c>
      <c r="B2" s="78"/>
      <c r="C2" s="78"/>
      <c r="D2" s="78"/>
      <c r="E2" s="78"/>
      <c r="F2" s="78"/>
      <c r="G2" s="78"/>
      <c r="H2" s="78"/>
      <c r="I2" s="78"/>
    </row>
    <row r="3" spans="1:9" s="2" customFormat="1" ht="33.75" customHeight="1">
      <c r="A3" s="247" t="s">
        <v>227</v>
      </c>
      <c r="B3" s="248"/>
      <c r="C3" s="248"/>
      <c r="D3" s="248"/>
      <c r="E3" s="248"/>
      <c r="F3" s="249"/>
      <c r="G3" s="84"/>
      <c r="H3" s="84"/>
    </row>
    <row r="4" spans="1:9" s="2" customFormat="1" ht="54.75" customHeight="1">
      <c r="A4" s="244" t="s">
        <v>170</v>
      </c>
      <c r="B4" s="244"/>
      <c r="C4" s="244"/>
      <c r="D4" s="244"/>
      <c r="E4" s="244"/>
      <c r="F4" s="244"/>
      <c r="G4" s="84"/>
      <c r="H4" s="84"/>
    </row>
    <row r="5" spans="1:9" s="2" customFormat="1" ht="99.75" customHeight="1">
      <c r="A5" s="244" t="s">
        <v>127</v>
      </c>
      <c r="B5" s="244"/>
      <c r="C5" s="244"/>
      <c r="D5" s="244"/>
      <c r="E5" s="244"/>
      <c r="F5" s="244"/>
      <c r="G5" s="84"/>
      <c r="H5" s="84"/>
    </row>
    <row r="6" spans="1:9" s="2" customFormat="1" ht="135" customHeight="1">
      <c r="A6" s="244" t="s">
        <v>228</v>
      </c>
      <c r="B6" s="244"/>
      <c r="C6" s="244"/>
      <c r="D6" s="244"/>
      <c r="E6" s="244"/>
      <c r="F6" s="244"/>
      <c r="G6" s="84"/>
      <c r="H6" s="84"/>
    </row>
    <row r="7" spans="1:9" s="2" customFormat="1" ht="75" customHeight="1">
      <c r="A7" s="244" t="s">
        <v>229</v>
      </c>
      <c r="B7" s="244"/>
      <c r="C7" s="244"/>
      <c r="D7" s="244"/>
      <c r="E7" s="244"/>
      <c r="F7" s="244"/>
      <c r="G7" s="84"/>
      <c r="H7" s="84"/>
    </row>
    <row r="8" spans="1:9" s="2" customFormat="1" ht="95.25" customHeight="1">
      <c r="A8" s="244" t="s">
        <v>258</v>
      </c>
      <c r="B8" s="244"/>
      <c r="C8" s="244"/>
      <c r="D8" s="244"/>
      <c r="E8" s="244"/>
      <c r="F8" s="244"/>
      <c r="G8" s="80"/>
      <c r="H8" s="80"/>
      <c r="I8" s="79"/>
    </row>
    <row r="9" spans="1:9" s="2" customFormat="1" ht="45.75" customHeight="1">
      <c r="A9" s="244" t="s">
        <v>230</v>
      </c>
      <c r="B9" s="244"/>
      <c r="C9" s="244"/>
      <c r="D9" s="244"/>
      <c r="E9" s="244"/>
      <c r="F9" s="244"/>
      <c r="G9" s="80"/>
      <c r="H9" s="80"/>
      <c r="I9" s="79"/>
    </row>
    <row r="10" spans="1:9" s="2" customFormat="1" ht="20.25" customHeight="1">
      <c r="A10" s="246" t="s">
        <v>71</v>
      </c>
      <c r="B10" s="246"/>
      <c r="C10" s="246"/>
      <c r="D10" s="246"/>
      <c r="E10" s="246"/>
      <c r="F10" s="246"/>
      <c r="G10" s="81"/>
      <c r="H10" s="81"/>
      <c r="I10" s="79"/>
    </row>
    <row r="11" spans="1:9" s="106" customFormat="1" ht="43.5" customHeight="1">
      <c r="A11" s="245" t="s">
        <v>231</v>
      </c>
      <c r="B11" s="245"/>
      <c r="C11" s="245"/>
      <c r="D11" s="245"/>
      <c r="E11" s="245"/>
      <c r="F11" s="245"/>
      <c r="G11" s="103"/>
      <c r="H11" s="103"/>
      <c r="I11" s="105"/>
    </row>
    <row r="12" spans="1:9" s="2" customFormat="1" ht="20.25" customHeight="1">
      <c r="A12" s="245" t="s">
        <v>72</v>
      </c>
      <c r="B12" s="245"/>
      <c r="C12" s="245"/>
      <c r="D12" s="245"/>
      <c r="E12" s="245"/>
      <c r="F12" s="245"/>
      <c r="G12" s="81"/>
      <c r="H12" s="81"/>
      <c r="I12" s="79"/>
    </row>
    <row r="13" spans="1:9" s="2" customFormat="1" ht="49.5" customHeight="1">
      <c r="A13" s="245" t="s">
        <v>232</v>
      </c>
      <c r="B13" s="245"/>
      <c r="C13" s="245"/>
      <c r="D13" s="245"/>
      <c r="E13" s="245"/>
      <c r="F13" s="245"/>
      <c r="G13" s="83"/>
      <c r="H13" s="83"/>
      <c r="I13" s="82"/>
    </row>
    <row r="14" spans="1:9" s="2" customFormat="1" ht="60.75" customHeight="1">
      <c r="A14" s="245" t="s">
        <v>175</v>
      </c>
      <c r="B14" s="245"/>
      <c r="C14" s="245"/>
      <c r="D14" s="245"/>
      <c r="E14" s="245"/>
      <c r="F14" s="245"/>
      <c r="G14" s="83"/>
      <c r="H14" s="83"/>
      <c r="I14" s="82"/>
    </row>
    <row r="15" spans="1:9" s="2" customFormat="1" ht="62.25" customHeight="1">
      <c r="A15" s="244" t="s">
        <v>233</v>
      </c>
      <c r="B15" s="244"/>
      <c r="C15" s="244"/>
      <c r="D15" s="244"/>
      <c r="E15" s="244"/>
      <c r="F15" s="244"/>
      <c r="G15" s="83"/>
      <c r="H15" s="83"/>
      <c r="I15" s="82"/>
    </row>
  </sheetData>
  <sheetProtection algorithmName="SHA-512" hashValue="t8ajq7aGt/g2H83i1WDxG5kHALzHeQkj/aUF+NOzokVjrlTvmmHS2wcci+QQZjYKma1xZGUbx1SYYVZpwfwZgg==" saltValue="xs8zqUVd9Ppx++YQuu9yoQ==" spinCount="100000" sheet="1" objects="1" scenarios="1" selectLockedCells="1" selectUnlockedCells="1"/>
  <mergeCells count="13">
    <mergeCell ref="A3:F3"/>
    <mergeCell ref="A9:F9"/>
    <mergeCell ref="A8:F8"/>
    <mergeCell ref="A14:F14"/>
    <mergeCell ref="A11:F11"/>
    <mergeCell ref="A15:F15"/>
    <mergeCell ref="A12:F12"/>
    <mergeCell ref="A13:F13"/>
    <mergeCell ref="A4:F4"/>
    <mergeCell ref="A10:F10"/>
    <mergeCell ref="A6:F6"/>
    <mergeCell ref="A5:F5"/>
    <mergeCell ref="A7:F7"/>
  </mergeCells>
  <phoneticPr fontId="11" type="noConversion"/>
  <conditionalFormatting sqref="A1:F15">
    <cfRule type="expression" dxfId="50" priority="1">
      <formula>CELL("Schutz",A1)=0</formula>
    </cfRule>
  </conditionalFormatting>
  <pageMargins left="0.70866141732283472" right="0.70866141732283472" top="0.78740157480314965" bottom="0.78740157480314965" header="0.31496062992125984" footer="0.31496062992125984"/>
  <pageSetup paperSize="9" scale="89" orientation="portrait" useFirstPageNumber="1" r:id="rId1"/>
  <headerFooter scaleWithDoc="0">
    <oddHeader>&amp;L&amp;"Arial,Fett"&amp;10Bieterangaben Robustheit Tunnel Kauerndorf
Unterlage &amp;A&amp;R&amp;9.....................................................
Bieter</oddHeader>
    <oddFooter>&amp;R&amp;P von &amp;N</oddFooter>
    <firstFooter>&amp;R&amp;P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6B8F-5131-4279-998C-16DCC93743A6}">
  <sheetPr>
    <tabColor theme="6"/>
    <pageSetUpPr fitToPage="1"/>
  </sheetPr>
  <dimension ref="A2:O10"/>
  <sheetViews>
    <sheetView view="pageBreakPreview" zoomScale="130" zoomScaleNormal="100" zoomScaleSheetLayoutView="130" workbookViewId="0">
      <selection activeCell="A13" sqref="A13:F13"/>
    </sheetView>
  </sheetViews>
  <sheetFormatPr baseColWidth="10" defaultRowHeight="14.25"/>
  <cols>
    <col min="2" max="2" width="11" customWidth="1"/>
    <col min="4" max="4" width="7.875" style="121" customWidth="1"/>
    <col min="15" max="15" width="1.625" customWidth="1"/>
  </cols>
  <sheetData>
    <row r="2" spans="1:15">
      <c r="A2" s="124"/>
      <c r="B2" s="125"/>
      <c r="C2" s="125"/>
      <c r="D2" s="126"/>
      <c r="E2" s="252" t="s">
        <v>139</v>
      </c>
      <c r="F2" s="251"/>
      <c r="G2" s="250" t="s">
        <v>140</v>
      </c>
      <c r="H2" s="250"/>
      <c r="I2" s="252" t="s">
        <v>141</v>
      </c>
      <c r="J2" s="251"/>
      <c r="K2" s="250" t="s">
        <v>142</v>
      </c>
      <c r="L2" s="251"/>
      <c r="M2" s="250" t="s">
        <v>143</v>
      </c>
      <c r="N2" s="251"/>
    </row>
    <row r="3" spans="1:15" s="122" customFormat="1" ht="15">
      <c r="A3" s="127" t="s">
        <v>136</v>
      </c>
      <c r="B3" s="128" t="s">
        <v>137</v>
      </c>
      <c r="C3" s="129" t="s">
        <v>138</v>
      </c>
      <c r="D3" s="129" t="s">
        <v>128</v>
      </c>
      <c r="E3" s="130" t="s">
        <v>129</v>
      </c>
      <c r="F3" s="131" t="s">
        <v>138</v>
      </c>
      <c r="G3" s="129" t="s">
        <v>129</v>
      </c>
      <c r="H3" s="129" t="s">
        <v>138</v>
      </c>
      <c r="I3" s="130" t="s">
        <v>129</v>
      </c>
      <c r="J3" s="131" t="s">
        <v>138</v>
      </c>
      <c r="K3" s="129" t="s">
        <v>129</v>
      </c>
      <c r="L3" s="131" t="s">
        <v>138</v>
      </c>
      <c r="M3" s="129" t="s">
        <v>129</v>
      </c>
      <c r="N3" s="131" t="s">
        <v>138</v>
      </c>
    </row>
    <row r="4" spans="1:15">
      <c r="A4" s="132" t="s">
        <v>145</v>
      </c>
      <c r="B4" s="133" t="s">
        <v>173</v>
      </c>
      <c r="C4" s="134">
        <v>89</v>
      </c>
      <c r="D4" s="135" t="s">
        <v>6</v>
      </c>
      <c r="E4" s="136" t="s">
        <v>131</v>
      </c>
      <c r="F4" s="137">
        <f>C4*5</f>
        <v>445</v>
      </c>
      <c r="G4" s="196">
        <v>0</v>
      </c>
      <c r="H4" s="138">
        <v>0</v>
      </c>
      <c r="I4" s="195">
        <v>0</v>
      </c>
      <c r="J4" s="139">
        <f>I4*C4</f>
        <v>0</v>
      </c>
      <c r="K4" s="196">
        <v>0.42339678432822042</v>
      </c>
      <c r="L4" s="139">
        <f>K4*C4</f>
        <v>37.682313805211621</v>
      </c>
      <c r="M4" s="196">
        <v>0.1338180389074474</v>
      </c>
      <c r="N4" s="139">
        <f>M4*C4</f>
        <v>11.909805462762819</v>
      </c>
    </row>
    <row r="5" spans="1:15">
      <c r="A5" s="132" t="s">
        <v>146</v>
      </c>
      <c r="B5" s="133" t="s">
        <v>174</v>
      </c>
      <c r="C5" s="134">
        <v>215.6</v>
      </c>
      <c r="D5" s="135" t="s">
        <v>6</v>
      </c>
      <c r="E5" s="195">
        <v>0.32842859837766475</v>
      </c>
      <c r="F5" s="140">
        <f>E5*C5</f>
        <v>70.809205810224512</v>
      </c>
      <c r="G5" s="141" t="s">
        <v>171</v>
      </c>
      <c r="H5" s="142">
        <v>619.1</v>
      </c>
      <c r="I5" s="195">
        <f>I4</f>
        <v>0</v>
      </c>
      <c r="J5" s="139">
        <f>I5*C5</f>
        <v>0</v>
      </c>
      <c r="K5" s="196">
        <f>K4</f>
        <v>0.42339678432822042</v>
      </c>
      <c r="L5" s="139">
        <f t="shared" ref="L5:L8" si="0">K5*C5</f>
        <v>91.284346701164324</v>
      </c>
      <c r="M5" s="196">
        <f>M4</f>
        <v>0.1338180389074474</v>
      </c>
      <c r="N5" s="139">
        <f t="shared" ref="N5:N7" si="1">M5*C5</f>
        <v>28.851169188445656</v>
      </c>
    </row>
    <row r="6" spans="1:15">
      <c r="A6" s="132" t="s">
        <v>147</v>
      </c>
      <c r="B6" s="133" t="s">
        <v>133</v>
      </c>
      <c r="C6" s="134">
        <v>126.3</v>
      </c>
      <c r="D6" s="135" t="s">
        <v>6</v>
      </c>
      <c r="E6" s="195">
        <f>E5</f>
        <v>0.32842859837766475</v>
      </c>
      <c r="F6" s="140">
        <f t="shared" ref="F6:F8" si="2">E6*C6</f>
        <v>41.480531975099055</v>
      </c>
      <c r="G6" s="196">
        <f>G4</f>
        <v>0</v>
      </c>
      <c r="H6" s="134">
        <v>0</v>
      </c>
      <c r="I6" s="136" t="s">
        <v>171</v>
      </c>
      <c r="J6" s="137">
        <v>619.1</v>
      </c>
      <c r="K6" s="196">
        <f>K5</f>
        <v>0.42339678432822042</v>
      </c>
      <c r="L6" s="139">
        <f t="shared" si="0"/>
        <v>53.475013860654236</v>
      </c>
      <c r="M6" s="196">
        <f>M5</f>
        <v>0.1338180389074474</v>
      </c>
      <c r="N6" s="139">
        <f t="shared" si="1"/>
        <v>16.901218314010606</v>
      </c>
    </row>
    <row r="7" spans="1:15">
      <c r="A7" s="132" t="s">
        <v>148</v>
      </c>
      <c r="B7" s="133" t="s">
        <v>134</v>
      </c>
      <c r="C7" s="134">
        <v>78</v>
      </c>
      <c r="D7" s="135" t="s">
        <v>6</v>
      </c>
      <c r="E7" s="195">
        <f>E6</f>
        <v>0.32842859837766475</v>
      </c>
      <c r="F7" s="140">
        <f t="shared" si="2"/>
        <v>25.61743067345785</v>
      </c>
      <c r="G7" s="196">
        <f>G6</f>
        <v>0</v>
      </c>
      <c r="H7" s="134">
        <v>0</v>
      </c>
      <c r="I7" s="195">
        <f>I5</f>
        <v>0</v>
      </c>
      <c r="J7" s="139">
        <f>I7*C7</f>
        <v>0</v>
      </c>
      <c r="K7" s="136" t="s">
        <v>131</v>
      </c>
      <c r="L7" s="137">
        <f>5*C7</f>
        <v>390</v>
      </c>
      <c r="M7" s="196">
        <f>M6</f>
        <v>0.1338180389074474</v>
      </c>
      <c r="N7" s="139">
        <f t="shared" si="1"/>
        <v>10.437807034780898</v>
      </c>
    </row>
    <row r="8" spans="1:15">
      <c r="A8" s="132" t="s">
        <v>149</v>
      </c>
      <c r="B8" s="133" t="s">
        <v>172</v>
      </c>
      <c r="C8" s="134">
        <v>110.2</v>
      </c>
      <c r="D8" s="135" t="s">
        <v>6</v>
      </c>
      <c r="E8" s="195">
        <f>E7</f>
        <v>0.32842859837766475</v>
      </c>
      <c r="F8" s="140">
        <f t="shared" si="2"/>
        <v>36.192831541218659</v>
      </c>
      <c r="G8" s="196">
        <f>G7</f>
        <v>0</v>
      </c>
      <c r="H8" s="134">
        <v>0</v>
      </c>
      <c r="I8" s="195">
        <f>I7</f>
        <v>0</v>
      </c>
      <c r="J8" s="139">
        <f>I8*C8</f>
        <v>0</v>
      </c>
      <c r="K8" s="196">
        <f>K6</f>
        <v>0.42339678432822042</v>
      </c>
      <c r="L8" s="139">
        <f t="shared" si="0"/>
        <v>46.658325632969891</v>
      </c>
      <c r="M8" s="136" t="s">
        <v>131</v>
      </c>
      <c r="N8" s="137">
        <f>5*C8</f>
        <v>551</v>
      </c>
    </row>
    <row r="9" spans="1:15">
      <c r="A9" s="143"/>
      <c r="B9" s="144" t="s">
        <v>135</v>
      </c>
      <c r="C9" s="145">
        <f>C4+C5+C6+C7+C8</f>
        <v>619.1</v>
      </c>
      <c r="D9" s="146" t="s">
        <v>6</v>
      </c>
      <c r="E9" s="147"/>
      <c r="F9" s="145">
        <f>SUM(F4:F8)</f>
        <v>619.10000000000014</v>
      </c>
      <c r="G9" s="147"/>
      <c r="H9" s="145">
        <f>SUM(H4:H8)</f>
        <v>619.1</v>
      </c>
      <c r="I9" s="147"/>
      <c r="J9" s="145">
        <f>SUM(J4:J8)</f>
        <v>619.1</v>
      </c>
      <c r="K9" s="147"/>
      <c r="L9" s="145">
        <f>SUM(L4:L8)</f>
        <v>619.1</v>
      </c>
      <c r="M9" s="147"/>
      <c r="N9" s="148">
        <f>SUM(N4:N8)</f>
        <v>619.1</v>
      </c>
      <c r="O9" s="206"/>
    </row>
    <row r="10" spans="1:15">
      <c r="A10" s="133"/>
      <c r="B10" s="133"/>
      <c r="C10" s="133"/>
      <c r="D10" s="135"/>
      <c r="E10" s="133"/>
      <c r="F10" s="133"/>
      <c r="G10" s="133"/>
      <c r="H10" s="133"/>
      <c r="I10" s="133"/>
      <c r="J10" s="133"/>
      <c r="K10" s="133"/>
      <c r="L10" s="133"/>
    </row>
  </sheetData>
  <sheetProtection algorithmName="SHA-512" hashValue="XQ9yBsqV2sQQxM6ZjK58CGlomOGv1rshfB29mKeqOdOla98X8MekQa00LDuLyvtg/Qdxice6gA4bXtW1HU9DDQ==" saltValue="B6cLAJJhy+ouqrvflByFuA==" spinCount="100000" sheet="1" objects="1" scenarios="1" selectLockedCells="1" selectUnlockedCells="1"/>
  <mergeCells count="5">
    <mergeCell ref="M2:N2"/>
    <mergeCell ref="E2:F2"/>
    <mergeCell ref="G2:H2"/>
    <mergeCell ref="I2:J2"/>
    <mergeCell ref="K2:L2"/>
  </mergeCells>
  <pageMargins left="0.70866141732283472" right="0.70866141732283472" top="0.78740157480314965" bottom="0.78740157480314965" header="0.31496062992125984" footer="0.31496062992125984"/>
  <pageSetup paperSize="9" scale="79" firstPageNumber="2" fitToHeight="0" orientation="landscape" useFirstPageNumber="1" r:id="rId1"/>
  <headerFooter scaleWithDoc="0">
    <oddHeader>&amp;L&amp;"Arial,Fett"&amp;10Bieterangaben Robustheit Tunnel Kauerndorf
Unterlage &amp;A&amp;R&amp;9.....................................................
Bieter</oddHeader>
    <oddFooter>&amp;R&amp;P von &amp;N</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8A95-547A-4487-8C1B-39B674B23D7F}">
  <sheetPr>
    <tabColor theme="9"/>
    <pageSetUpPr fitToPage="1"/>
  </sheetPr>
  <dimension ref="A1:K137"/>
  <sheetViews>
    <sheetView showGridLines="0" view="pageBreakPreview" zoomScale="115" zoomScaleNormal="100" zoomScaleSheetLayoutView="115" workbookViewId="0">
      <pane xSplit="1" ySplit="3" topLeftCell="B6" activePane="bottomRight" state="frozen"/>
      <selection activeCell="A13" sqref="A13:F13"/>
      <selection pane="topRight" activeCell="A13" sqref="A13:F13"/>
      <selection pane="bottomLeft" activeCell="A13" sqref="A13:F13"/>
      <selection pane="bottomRight" activeCell="H12" sqref="H12"/>
    </sheetView>
  </sheetViews>
  <sheetFormatPr baseColWidth="10" defaultColWidth="11.25" defaultRowHeight="14.25"/>
  <cols>
    <col min="1" max="1" width="17.625" customWidth="1"/>
    <col min="2" max="2" width="9.5" style="30" bestFit="1" customWidth="1"/>
    <col min="3" max="3" width="47.75" style="30" customWidth="1"/>
    <col min="4" max="4" width="7.75" style="30" customWidth="1"/>
    <col min="5" max="5" width="9.25" style="56" customWidth="1"/>
    <col min="6" max="6" width="10.125" style="225" customWidth="1"/>
    <col min="7" max="7" width="37.25" style="100" bestFit="1" customWidth="1"/>
    <col min="8" max="8" width="19.625" style="17" customWidth="1"/>
    <col min="9" max="9" width="12.625" style="17" customWidth="1"/>
    <col min="10" max="10" width="11.5" style="17" customWidth="1"/>
    <col min="11" max="11" width="13.75" style="238" bestFit="1" customWidth="1"/>
    <col min="12" max="12" width="2" customWidth="1"/>
  </cols>
  <sheetData>
    <row r="1" spans="1:11">
      <c r="G1" s="49"/>
    </row>
    <row r="2" spans="1:11">
      <c r="A2" s="253" t="s">
        <v>15</v>
      </c>
      <c r="B2" s="254"/>
      <c r="C2" s="254"/>
      <c r="D2" s="254"/>
      <c r="E2" s="254"/>
      <c r="F2" s="255"/>
      <c r="G2" s="94"/>
      <c r="H2" s="256" t="s">
        <v>0</v>
      </c>
      <c r="I2" s="257"/>
      <c r="J2" s="257"/>
      <c r="K2" s="258"/>
    </row>
    <row r="3" spans="1:11" ht="57">
      <c r="A3" s="5" t="s">
        <v>32</v>
      </c>
      <c r="B3" s="20" t="s">
        <v>1</v>
      </c>
      <c r="C3" s="20" t="s">
        <v>7</v>
      </c>
      <c r="D3" s="20" t="s">
        <v>2</v>
      </c>
      <c r="E3" s="50" t="s">
        <v>30</v>
      </c>
      <c r="F3" s="215" t="s">
        <v>82</v>
      </c>
      <c r="G3" s="45" t="s">
        <v>73</v>
      </c>
      <c r="H3" s="11" t="s">
        <v>92</v>
      </c>
      <c r="I3" s="11" t="s">
        <v>234</v>
      </c>
      <c r="J3" s="11" t="s">
        <v>13</v>
      </c>
      <c r="K3" s="111" t="s">
        <v>101</v>
      </c>
    </row>
    <row r="4" spans="1:11" ht="24">
      <c r="A4" s="4" t="s">
        <v>17</v>
      </c>
      <c r="B4" s="113" t="s">
        <v>98</v>
      </c>
      <c r="C4" s="85" t="s">
        <v>75</v>
      </c>
      <c r="D4" s="44" t="s">
        <v>3</v>
      </c>
      <c r="E4" s="51">
        <f>57.91*$A$5</f>
        <v>98.446999999999989</v>
      </c>
      <c r="F4" s="216">
        <f t="shared" ref="F4:F13" si="0">E4/$A$5</f>
        <v>57.91</v>
      </c>
      <c r="G4" s="95"/>
      <c r="H4" s="87">
        <v>1</v>
      </c>
      <c r="I4" s="210">
        <f>ROUND(F4*H4,2)</f>
        <v>57.91</v>
      </c>
      <c r="J4" s="12"/>
      <c r="K4" s="210"/>
    </row>
    <row r="5" spans="1:11">
      <c r="A5" s="115">
        <v>1.7</v>
      </c>
      <c r="B5" s="114" t="s">
        <v>196</v>
      </c>
      <c r="C5" s="36" t="s">
        <v>24</v>
      </c>
      <c r="D5" s="37" t="s">
        <v>33</v>
      </c>
      <c r="E5" s="52">
        <f>30/2</f>
        <v>15</v>
      </c>
      <c r="F5" s="220">
        <f t="shared" si="0"/>
        <v>8.8235294117647065</v>
      </c>
      <c r="G5" s="96" t="s">
        <v>74</v>
      </c>
      <c r="H5" s="88">
        <v>1</v>
      </c>
      <c r="I5" s="211">
        <f t="shared" ref="I5:I12" si="1">ROUND(F5*H5,2)</f>
        <v>8.82</v>
      </c>
      <c r="J5" s="38"/>
      <c r="K5" s="211"/>
    </row>
    <row r="6" spans="1:11">
      <c r="A6" s="35"/>
      <c r="B6" s="39" t="s">
        <v>197</v>
      </c>
      <c r="C6" s="36" t="s">
        <v>60</v>
      </c>
      <c r="D6" s="37" t="s">
        <v>33</v>
      </c>
      <c r="E6" s="52">
        <f>30/2</f>
        <v>15</v>
      </c>
      <c r="F6" s="220">
        <f t="shared" si="0"/>
        <v>8.8235294117647065</v>
      </c>
      <c r="G6" s="96" t="s">
        <v>74</v>
      </c>
      <c r="H6" s="88">
        <v>1</v>
      </c>
      <c r="I6" s="211">
        <f t="shared" si="1"/>
        <v>8.82</v>
      </c>
      <c r="J6" s="38"/>
      <c r="K6" s="211"/>
    </row>
    <row r="7" spans="1:11">
      <c r="A7" s="35"/>
      <c r="B7" s="36" t="s">
        <v>119</v>
      </c>
      <c r="C7" s="36" t="s">
        <v>8</v>
      </c>
      <c r="D7" s="37" t="s">
        <v>4</v>
      </c>
      <c r="E7" s="52">
        <f>18.3*$A$5</f>
        <v>31.11</v>
      </c>
      <c r="F7" s="220">
        <f t="shared" si="0"/>
        <v>18.3</v>
      </c>
      <c r="G7" s="96" t="s">
        <v>74</v>
      </c>
      <c r="H7" s="88">
        <v>1</v>
      </c>
      <c r="I7" s="211">
        <f t="shared" si="1"/>
        <v>18.3</v>
      </c>
      <c r="J7" s="38"/>
      <c r="K7" s="211"/>
    </row>
    <row r="8" spans="1:11">
      <c r="A8" s="35"/>
      <c r="B8" s="39" t="s">
        <v>198</v>
      </c>
      <c r="C8" s="36" t="s">
        <v>43</v>
      </c>
      <c r="D8" s="37" t="s">
        <v>226</v>
      </c>
      <c r="E8" s="52">
        <f>18.3*$A$5*4.12/1000</f>
        <v>0.12817320000000001</v>
      </c>
      <c r="F8" s="220">
        <f t="shared" si="0"/>
        <v>7.5396000000000005E-2</v>
      </c>
      <c r="G8" s="96" t="s">
        <v>74</v>
      </c>
      <c r="H8" s="88">
        <v>1</v>
      </c>
      <c r="I8" s="211">
        <f t="shared" si="1"/>
        <v>0.08</v>
      </c>
      <c r="J8" s="38"/>
      <c r="K8" s="211"/>
    </row>
    <row r="9" spans="1:11">
      <c r="A9" s="35"/>
      <c r="B9" s="39" t="s">
        <v>198</v>
      </c>
      <c r="C9" s="36" t="s">
        <v>63</v>
      </c>
      <c r="D9" s="37" t="s">
        <v>226</v>
      </c>
      <c r="E9" s="52">
        <f>18.3*$A$5*4.12/1000</f>
        <v>0.12817320000000001</v>
      </c>
      <c r="F9" s="220">
        <f t="shared" si="0"/>
        <v>7.5396000000000005E-2</v>
      </c>
      <c r="G9" s="96" t="s">
        <v>74</v>
      </c>
      <c r="H9" s="34">
        <f>H8</f>
        <v>1</v>
      </c>
      <c r="I9" s="211">
        <f t="shared" si="1"/>
        <v>0.08</v>
      </c>
      <c r="J9" s="38"/>
      <c r="K9" s="211"/>
    </row>
    <row r="10" spans="1:11">
      <c r="A10" s="35"/>
      <c r="B10" s="36" t="s">
        <v>199</v>
      </c>
      <c r="C10" s="36" t="s">
        <v>59</v>
      </c>
      <c r="D10" s="37" t="s">
        <v>6</v>
      </c>
      <c r="E10" s="52">
        <f>2*A5</f>
        <v>3.4</v>
      </c>
      <c r="F10" s="220">
        <f t="shared" si="0"/>
        <v>2</v>
      </c>
      <c r="G10" s="96" t="s">
        <v>74</v>
      </c>
      <c r="H10" s="88">
        <v>1</v>
      </c>
      <c r="I10" s="212">
        <f t="shared" si="1"/>
        <v>2</v>
      </c>
      <c r="J10" s="38"/>
      <c r="K10" s="211"/>
    </row>
    <row r="11" spans="1:11">
      <c r="A11" s="35"/>
      <c r="B11" s="36" t="s">
        <v>200</v>
      </c>
      <c r="C11" s="36" t="s">
        <v>16</v>
      </c>
      <c r="D11" s="37" t="s">
        <v>226</v>
      </c>
      <c r="E11" s="52">
        <f>18.73*12.7/1000</f>
        <v>0.23787099999999997</v>
      </c>
      <c r="F11" s="220">
        <f t="shared" si="0"/>
        <v>0.13992411764705881</v>
      </c>
      <c r="G11" s="96" t="s">
        <v>74</v>
      </c>
      <c r="H11" s="88">
        <v>1</v>
      </c>
      <c r="I11" s="211">
        <f t="shared" si="1"/>
        <v>0.14000000000000001</v>
      </c>
      <c r="J11" s="38"/>
      <c r="K11" s="211"/>
    </row>
    <row r="12" spans="1:11">
      <c r="A12" s="35"/>
      <c r="B12" s="39" t="s">
        <v>201</v>
      </c>
      <c r="C12" s="36" t="s">
        <v>9</v>
      </c>
      <c r="D12" s="37" t="s">
        <v>33</v>
      </c>
      <c r="E12" s="52">
        <f>8.5</f>
        <v>8.5</v>
      </c>
      <c r="F12" s="220">
        <f t="shared" si="0"/>
        <v>5</v>
      </c>
      <c r="G12" s="96" t="s">
        <v>74</v>
      </c>
      <c r="H12" s="88">
        <v>1</v>
      </c>
      <c r="I12" s="211">
        <f t="shared" si="1"/>
        <v>5</v>
      </c>
      <c r="J12" s="38"/>
      <c r="K12" s="211"/>
    </row>
    <row r="13" spans="1:11">
      <c r="A13" s="35"/>
      <c r="B13" s="36" t="s">
        <v>122</v>
      </c>
      <c r="C13" s="36" t="s">
        <v>10</v>
      </c>
      <c r="D13" s="37" t="s">
        <v>4</v>
      </c>
      <c r="E13" s="52">
        <f>57.91</f>
        <v>57.91</v>
      </c>
      <c r="F13" s="220">
        <f t="shared" si="0"/>
        <v>34.064705882352939</v>
      </c>
      <c r="G13" s="96" t="s">
        <v>74</v>
      </c>
      <c r="H13" s="88">
        <v>1</v>
      </c>
      <c r="I13" s="211">
        <f t="shared" ref="I13" si="2">ROUND(F13*H13,2)</f>
        <v>34.06</v>
      </c>
      <c r="J13" s="38"/>
      <c r="K13" s="211"/>
    </row>
    <row r="14" spans="1:11">
      <c r="A14" s="35"/>
      <c r="C14" s="36"/>
      <c r="D14" s="37" t="s">
        <v>249</v>
      </c>
      <c r="E14" s="117"/>
      <c r="F14" s="218">
        <v>1</v>
      </c>
      <c r="G14" s="240" t="s">
        <v>237</v>
      </c>
      <c r="I14" s="211"/>
      <c r="J14" s="38"/>
      <c r="K14" s="211"/>
    </row>
    <row r="15" spans="1:11">
      <c r="A15" s="35"/>
      <c r="B15" s="112" t="s">
        <v>94</v>
      </c>
      <c r="C15" s="36" t="s">
        <v>97</v>
      </c>
      <c r="D15" s="37" t="s">
        <v>33</v>
      </c>
      <c r="E15" s="117"/>
      <c r="F15" s="218">
        <v>1</v>
      </c>
      <c r="G15" s="240" t="s">
        <v>235</v>
      </c>
      <c r="H15" s="88">
        <v>1</v>
      </c>
      <c r="I15" s="211">
        <f>ROUND(H15/(F15*F14),2)</f>
        <v>1</v>
      </c>
      <c r="J15" s="38"/>
      <c r="K15" s="211"/>
    </row>
    <row r="16" spans="1:11">
      <c r="A16" s="35"/>
      <c r="B16" s="112" t="s">
        <v>96</v>
      </c>
      <c r="C16" s="36" t="s">
        <v>95</v>
      </c>
      <c r="D16" s="37" t="s">
        <v>33</v>
      </c>
      <c r="E16" s="117"/>
      <c r="F16" s="218">
        <v>1</v>
      </c>
      <c r="G16" s="240" t="s">
        <v>236</v>
      </c>
      <c r="H16" s="88">
        <v>1</v>
      </c>
      <c r="I16" s="211">
        <f>ROUND(H16/(F16*F14),2)</f>
        <v>1</v>
      </c>
      <c r="J16" s="38"/>
      <c r="K16" s="211"/>
    </row>
    <row r="17" spans="1:11">
      <c r="A17" s="7"/>
      <c r="B17" s="23"/>
      <c r="C17" s="24" t="s">
        <v>93</v>
      </c>
      <c r="D17" s="25"/>
      <c r="E17" s="53"/>
      <c r="F17" s="219"/>
      <c r="G17" s="97"/>
      <c r="H17" s="16"/>
      <c r="I17" s="213">
        <f>SUM(I4:I16)</f>
        <v>137.20999999999998</v>
      </c>
      <c r="J17" s="14">
        <v>89</v>
      </c>
      <c r="K17" s="213">
        <f>I17*J17</f>
        <v>12211.689999999999</v>
      </c>
    </row>
    <row r="18" spans="1:11" ht="6.75" customHeight="1">
      <c r="A18" s="7"/>
      <c r="B18" s="23"/>
      <c r="C18" s="24"/>
      <c r="D18" s="25"/>
      <c r="E18" s="53"/>
      <c r="F18" s="219"/>
      <c r="G18" s="97"/>
      <c r="H18" s="16"/>
      <c r="I18" s="213"/>
      <c r="J18" s="14"/>
      <c r="K18" s="213"/>
    </row>
    <row r="19" spans="1:11" ht="24">
      <c r="A19" s="42" t="s">
        <v>18</v>
      </c>
      <c r="B19" s="113" t="s">
        <v>99</v>
      </c>
      <c r="C19" s="85" t="s">
        <v>37</v>
      </c>
      <c r="D19" s="44" t="s">
        <v>3</v>
      </c>
      <c r="E19" s="51">
        <f>57.91*$A$20</f>
        <v>75.283000000000001</v>
      </c>
      <c r="F19" s="216">
        <f t="shared" ref="F19:F28" si="3">E19/$A$20</f>
        <v>57.91</v>
      </c>
      <c r="G19" s="95"/>
      <c r="H19" s="87">
        <v>1</v>
      </c>
      <c r="I19" s="210">
        <f>ROUND(F19*H19,2)</f>
        <v>57.91</v>
      </c>
      <c r="J19" s="15"/>
      <c r="K19" s="210"/>
    </row>
    <row r="20" spans="1:11">
      <c r="A20" s="115">
        <v>1.3</v>
      </c>
      <c r="B20" s="114" t="s">
        <v>196</v>
      </c>
      <c r="C20" s="36" t="s">
        <v>24</v>
      </c>
      <c r="D20" s="37" t="s">
        <v>33</v>
      </c>
      <c r="E20" s="52">
        <f>30/2</f>
        <v>15</v>
      </c>
      <c r="F20" s="220">
        <f t="shared" si="3"/>
        <v>11.538461538461538</v>
      </c>
      <c r="G20" s="96" t="str">
        <f>"von "&amp;A$4</f>
        <v>von Kalotte 6A.1 HR</v>
      </c>
      <c r="H20" s="10">
        <f t="shared" ref="H20:H27" si="4">H5</f>
        <v>1</v>
      </c>
      <c r="I20" s="211">
        <f t="shared" ref="I20:I28" si="5">ROUND(F20*H20,2)</f>
        <v>11.54</v>
      </c>
      <c r="J20" s="38"/>
      <c r="K20" s="211"/>
    </row>
    <row r="21" spans="1:11">
      <c r="A21" s="35"/>
      <c r="B21" s="39" t="s">
        <v>197</v>
      </c>
      <c r="C21" s="36" t="s">
        <v>60</v>
      </c>
      <c r="D21" s="37" t="s">
        <v>33</v>
      </c>
      <c r="E21" s="52">
        <f>30/2</f>
        <v>15</v>
      </c>
      <c r="F21" s="220">
        <f t="shared" si="3"/>
        <v>11.538461538461538</v>
      </c>
      <c r="G21" s="96" t="str">
        <f t="shared" ref="G21:G28" si="6">"von "&amp;A$4</f>
        <v>von Kalotte 6A.1 HR</v>
      </c>
      <c r="H21" s="10">
        <f t="shared" si="4"/>
        <v>1</v>
      </c>
      <c r="I21" s="211">
        <f t="shared" si="5"/>
        <v>11.54</v>
      </c>
      <c r="J21" s="38"/>
      <c r="K21" s="211"/>
    </row>
    <row r="22" spans="1:11">
      <c r="A22" s="32"/>
      <c r="B22" s="36" t="s">
        <v>119</v>
      </c>
      <c r="C22" s="36" t="s">
        <v>8</v>
      </c>
      <c r="D22" s="37" t="s">
        <v>4</v>
      </c>
      <c r="E22" s="52">
        <f>18.3*$A$20</f>
        <v>23.790000000000003</v>
      </c>
      <c r="F22" s="220">
        <f t="shared" si="3"/>
        <v>18.3</v>
      </c>
      <c r="G22" s="96" t="str">
        <f t="shared" si="6"/>
        <v>von Kalotte 6A.1 HR</v>
      </c>
      <c r="H22" s="10">
        <f t="shared" si="4"/>
        <v>1</v>
      </c>
      <c r="I22" s="211">
        <f t="shared" si="5"/>
        <v>18.3</v>
      </c>
      <c r="J22" s="38"/>
      <c r="K22" s="211"/>
    </row>
    <row r="23" spans="1:11">
      <c r="A23" s="35"/>
      <c r="B23" s="39" t="s">
        <v>198</v>
      </c>
      <c r="C23" s="36" t="s">
        <v>43</v>
      </c>
      <c r="D23" s="37" t="s">
        <v>226</v>
      </c>
      <c r="E23" s="52">
        <f>18.3*$A$20*4.12/1000</f>
        <v>9.8014800000000013E-2</v>
      </c>
      <c r="F23" s="220">
        <f t="shared" si="3"/>
        <v>7.5396000000000005E-2</v>
      </c>
      <c r="G23" s="96" t="str">
        <f t="shared" si="6"/>
        <v>von Kalotte 6A.1 HR</v>
      </c>
      <c r="H23" s="10">
        <f t="shared" si="4"/>
        <v>1</v>
      </c>
      <c r="I23" s="211">
        <f t="shared" si="5"/>
        <v>0.08</v>
      </c>
      <c r="J23" s="38"/>
      <c r="K23" s="211"/>
    </row>
    <row r="24" spans="1:11">
      <c r="A24" s="35"/>
      <c r="B24" s="39" t="s">
        <v>198</v>
      </c>
      <c r="C24" s="36" t="s">
        <v>63</v>
      </c>
      <c r="D24" s="37" t="s">
        <v>226</v>
      </c>
      <c r="E24" s="52">
        <f>18.3*$A$20*4.12/1000</f>
        <v>9.8014800000000013E-2</v>
      </c>
      <c r="F24" s="220">
        <f t="shared" si="3"/>
        <v>7.5396000000000005E-2</v>
      </c>
      <c r="G24" s="96" t="str">
        <f t="shared" si="6"/>
        <v>von Kalotte 6A.1 HR</v>
      </c>
      <c r="H24" s="10">
        <f t="shared" si="4"/>
        <v>1</v>
      </c>
      <c r="I24" s="211">
        <f t="shared" si="5"/>
        <v>0.08</v>
      </c>
      <c r="J24" s="38"/>
      <c r="K24" s="211"/>
    </row>
    <row r="25" spans="1:11">
      <c r="A25" s="35"/>
      <c r="B25" s="36" t="s">
        <v>199</v>
      </c>
      <c r="C25" s="36" t="s">
        <v>59</v>
      </c>
      <c r="D25" s="37" t="s">
        <v>6</v>
      </c>
      <c r="E25" s="52">
        <f>2*A20</f>
        <v>2.6</v>
      </c>
      <c r="F25" s="220">
        <f t="shared" si="3"/>
        <v>2</v>
      </c>
      <c r="G25" s="96" t="str">
        <f t="shared" si="6"/>
        <v>von Kalotte 6A.1 HR</v>
      </c>
      <c r="H25" s="10">
        <f t="shared" si="4"/>
        <v>1</v>
      </c>
      <c r="I25" s="212">
        <f t="shared" si="5"/>
        <v>2</v>
      </c>
      <c r="J25" s="38"/>
      <c r="K25" s="211"/>
    </row>
    <row r="26" spans="1:11">
      <c r="A26" s="32"/>
      <c r="B26" s="36" t="s">
        <v>200</v>
      </c>
      <c r="C26" s="36" t="s">
        <v>16</v>
      </c>
      <c r="D26" s="37" t="s">
        <v>226</v>
      </c>
      <c r="E26" s="52">
        <f>18.73*12.7/1000</f>
        <v>0.23787099999999997</v>
      </c>
      <c r="F26" s="220">
        <f t="shared" si="3"/>
        <v>0.18297769230769229</v>
      </c>
      <c r="G26" s="96" t="str">
        <f t="shared" si="6"/>
        <v>von Kalotte 6A.1 HR</v>
      </c>
      <c r="H26" s="10">
        <f t="shared" si="4"/>
        <v>1</v>
      </c>
      <c r="I26" s="211">
        <f t="shared" si="5"/>
        <v>0.18</v>
      </c>
      <c r="J26" s="38"/>
      <c r="K26" s="211"/>
    </row>
    <row r="27" spans="1:11">
      <c r="A27" s="35"/>
      <c r="B27" s="39" t="s">
        <v>201</v>
      </c>
      <c r="C27" s="36" t="s">
        <v>9</v>
      </c>
      <c r="D27" s="37" t="s">
        <v>33</v>
      </c>
      <c r="E27" s="52">
        <f>8.5</f>
        <v>8.5</v>
      </c>
      <c r="F27" s="220">
        <f t="shared" si="3"/>
        <v>6.5384615384615383</v>
      </c>
      <c r="G27" s="96" t="str">
        <f t="shared" si="6"/>
        <v>von Kalotte 6A.1 HR</v>
      </c>
      <c r="H27" s="10">
        <f t="shared" si="4"/>
        <v>1</v>
      </c>
      <c r="I27" s="211">
        <f t="shared" si="5"/>
        <v>6.54</v>
      </c>
      <c r="J27" s="38"/>
      <c r="K27" s="211"/>
    </row>
    <row r="28" spans="1:11">
      <c r="A28" s="35"/>
      <c r="B28" s="39" t="s">
        <v>122</v>
      </c>
      <c r="C28" s="36" t="s">
        <v>10</v>
      </c>
      <c r="D28" s="37" t="s">
        <v>4</v>
      </c>
      <c r="E28" s="52">
        <f>57.91</f>
        <v>57.91</v>
      </c>
      <c r="F28" s="220">
        <f t="shared" si="3"/>
        <v>44.546153846153842</v>
      </c>
      <c r="G28" s="96" t="str">
        <f t="shared" si="6"/>
        <v>von Kalotte 6A.1 HR</v>
      </c>
      <c r="H28" s="10">
        <v>15</v>
      </c>
      <c r="I28" s="211">
        <f t="shared" si="5"/>
        <v>668.19</v>
      </c>
      <c r="J28" s="38"/>
      <c r="K28" s="211"/>
    </row>
    <row r="29" spans="1:11">
      <c r="A29" s="35"/>
      <c r="C29" s="36"/>
      <c r="D29" s="37" t="s">
        <v>249</v>
      </c>
      <c r="E29" s="117"/>
      <c r="F29" s="218">
        <v>1</v>
      </c>
      <c r="G29" s="240" t="s">
        <v>238</v>
      </c>
      <c r="I29" s="211"/>
      <c r="J29" s="38"/>
      <c r="K29" s="211"/>
    </row>
    <row r="30" spans="1:11">
      <c r="A30" s="35"/>
      <c r="B30" s="112" t="s">
        <v>94</v>
      </c>
      <c r="C30" s="36" t="s">
        <v>97</v>
      </c>
      <c r="D30" s="37" t="s">
        <v>33</v>
      </c>
      <c r="E30" s="117"/>
      <c r="F30" s="220">
        <f>F15</f>
        <v>1</v>
      </c>
      <c r="G30" s="240" t="s">
        <v>235</v>
      </c>
      <c r="H30" s="34">
        <f>$H$15</f>
        <v>1</v>
      </c>
      <c r="I30" s="211">
        <f>ROUND(H30/(F30*F29),2)</f>
        <v>1</v>
      </c>
      <c r="J30" s="38"/>
      <c r="K30" s="211"/>
    </row>
    <row r="31" spans="1:11">
      <c r="A31" s="35"/>
      <c r="B31" s="112" t="s">
        <v>96</v>
      </c>
      <c r="C31" s="36" t="s">
        <v>95</v>
      </c>
      <c r="D31" s="37" t="s">
        <v>33</v>
      </c>
      <c r="E31" s="117"/>
      <c r="F31" s="241">
        <f>F16</f>
        <v>1</v>
      </c>
      <c r="G31" s="240" t="s">
        <v>236</v>
      </c>
      <c r="H31" s="34">
        <f>$H$16</f>
        <v>1</v>
      </c>
      <c r="I31" s="211">
        <f>ROUND(H31/(F31*F29),2)</f>
        <v>1</v>
      </c>
      <c r="J31" s="38"/>
      <c r="K31" s="211"/>
    </row>
    <row r="32" spans="1:11">
      <c r="A32" s="7"/>
      <c r="B32" s="23"/>
      <c r="C32" s="24" t="s">
        <v>93</v>
      </c>
      <c r="D32" s="25"/>
      <c r="E32" s="53"/>
      <c r="F32" s="219"/>
      <c r="G32" s="97"/>
      <c r="H32" s="16"/>
      <c r="I32" s="213">
        <f>SUM(I19:I31)</f>
        <v>778.36</v>
      </c>
      <c r="J32" s="14">
        <v>215.6</v>
      </c>
      <c r="K32" s="213">
        <f>I32*J32</f>
        <v>167814.416</v>
      </c>
    </row>
    <row r="33" spans="1:11" ht="6.75" customHeight="1">
      <c r="A33" s="7"/>
      <c r="B33" s="23"/>
      <c r="C33" s="24"/>
      <c r="D33" s="25"/>
      <c r="E33" s="53"/>
      <c r="F33" s="219"/>
      <c r="G33" s="97"/>
      <c r="H33" s="16"/>
      <c r="I33" s="213"/>
      <c r="J33" s="14"/>
      <c r="K33" s="213"/>
    </row>
    <row r="34" spans="1:11" ht="36">
      <c r="A34" s="43" t="s">
        <v>23</v>
      </c>
      <c r="B34" s="39" t="s">
        <v>105</v>
      </c>
      <c r="C34" s="85" t="s">
        <v>69</v>
      </c>
      <c r="D34" s="25" t="s">
        <v>3</v>
      </c>
      <c r="E34" s="55">
        <f>(67.79-57.91)*$A$35</f>
        <v>25.688000000000027</v>
      </c>
      <c r="F34" s="219">
        <f t="shared" ref="F34:F39" si="7">E34/$A$35</f>
        <v>9.8800000000000097</v>
      </c>
      <c r="G34" s="96"/>
      <c r="H34" s="88">
        <v>1</v>
      </c>
      <c r="I34" s="210">
        <f>ROUND(F34*H34,2)</f>
        <v>9.8800000000000008</v>
      </c>
      <c r="J34" s="15"/>
      <c r="K34" s="210"/>
    </row>
    <row r="35" spans="1:11">
      <c r="A35" s="116">
        <v>2.6</v>
      </c>
      <c r="B35" s="39" t="s">
        <v>124</v>
      </c>
      <c r="C35" s="36" t="s">
        <v>57</v>
      </c>
      <c r="D35" s="37" t="s">
        <v>4</v>
      </c>
      <c r="E35" s="52">
        <f>12.21*$A$35</f>
        <v>31.746000000000002</v>
      </c>
      <c r="F35" s="220">
        <f t="shared" si="7"/>
        <v>12.21</v>
      </c>
      <c r="G35" s="96"/>
      <c r="H35" s="88">
        <v>1</v>
      </c>
      <c r="I35" s="211">
        <f t="shared" ref="I35:I39" si="8">ROUND(F35*H35,2)</f>
        <v>12.21</v>
      </c>
      <c r="J35" s="38"/>
      <c r="K35" s="211"/>
    </row>
    <row r="36" spans="1:11">
      <c r="A36" s="35"/>
      <c r="B36" s="39" t="s">
        <v>198</v>
      </c>
      <c r="C36" s="36" t="s">
        <v>44</v>
      </c>
      <c r="D36" s="37" t="s">
        <v>226</v>
      </c>
      <c r="E36" s="52">
        <f>12.21*$A$35*4.12/1000</f>
        <v>0.13079352</v>
      </c>
      <c r="F36" s="220">
        <f t="shared" si="7"/>
        <v>5.0305199999999994E-2</v>
      </c>
      <c r="G36" s="96" t="s">
        <v>74</v>
      </c>
      <c r="H36" s="34">
        <f>H8</f>
        <v>1</v>
      </c>
      <c r="I36" s="211">
        <f t="shared" si="8"/>
        <v>0.05</v>
      </c>
      <c r="J36" s="38"/>
      <c r="K36" s="211"/>
    </row>
    <row r="37" spans="1:11">
      <c r="A37" s="35"/>
      <c r="B37" s="39" t="s">
        <v>198</v>
      </c>
      <c r="C37" s="36" t="s">
        <v>64</v>
      </c>
      <c r="D37" s="37" t="s">
        <v>226</v>
      </c>
      <c r="E37" s="52">
        <f>12.21*$A$35*4.12/1000</f>
        <v>0.13079352</v>
      </c>
      <c r="F37" s="220">
        <f t="shared" si="7"/>
        <v>5.0305199999999994E-2</v>
      </c>
      <c r="G37" s="96" t="s">
        <v>74</v>
      </c>
      <c r="H37" s="34">
        <f>H9</f>
        <v>1</v>
      </c>
      <c r="I37" s="211">
        <f t="shared" si="8"/>
        <v>0.05</v>
      </c>
      <c r="J37" s="38"/>
      <c r="K37" s="211"/>
    </row>
    <row r="38" spans="1:11">
      <c r="A38" s="35"/>
      <c r="B38" s="39" t="s">
        <v>199</v>
      </c>
      <c r="C38" s="36" t="s">
        <v>90</v>
      </c>
      <c r="D38" s="37" t="s">
        <v>6</v>
      </c>
      <c r="E38" s="52">
        <f>2*A35</f>
        <v>5.2</v>
      </c>
      <c r="F38" s="220">
        <f t="shared" si="7"/>
        <v>2</v>
      </c>
      <c r="G38" s="96" t="s">
        <v>74</v>
      </c>
      <c r="H38" s="10">
        <f>H10</f>
        <v>1</v>
      </c>
      <c r="I38" s="212">
        <f t="shared" si="8"/>
        <v>2</v>
      </c>
      <c r="J38" s="38"/>
      <c r="K38" s="211"/>
    </row>
    <row r="39" spans="1:11">
      <c r="A39" s="35"/>
      <c r="B39" s="39" t="s">
        <v>122</v>
      </c>
      <c r="C39" s="36" t="s">
        <v>10</v>
      </c>
      <c r="D39" s="37" t="s">
        <v>4</v>
      </c>
      <c r="E39" s="52">
        <f>(67.79-57.91)</f>
        <v>9.8800000000000097</v>
      </c>
      <c r="F39" s="220">
        <f t="shared" si="7"/>
        <v>3.8000000000000034</v>
      </c>
      <c r="G39" s="96" t="s">
        <v>74</v>
      </c>
      <c r="H39" s="34">
        <f>H13</f>
        <v>1</v>
      </c>
      <c r="I39" s="211">
        <f t="shared" si="8"/>
        <v>3.8</v>
      </c>
      <c r="J39" s="38"/>
      <c r="K39" s="211"/>
    </row>
    <row r="40" spans="1:11">
      <c r="A40" s="35"/>
      <c r="C40" s="36"/>
      <c r="D40" s="37" t="s">
        <v>249</v>
      </c>
      <c r="E40" s="117"/>
      <c r="F40" s="218">
        <v>1</v>
      </c>
      <c r="G40" s="240" t="s">
        <v>239</v>
      </c>
      <c r="I40" s="211"/>
      <c r="J40" s="38"/>
      <c r="K40" s="211"/>
    </row>
    <row r="41" spans="1:11">
      <c r="A41" s="35"/>
      <c r="B41" s="112" t="s">
        <v>94</v>
      </c>
      <c r="C41" s="36" t="s">
        <v>97</v>
      </c>
      <c r="D41" s="37" t="s">
        <v>33</v>
      </c>
      <c r="E41" s="117"/>
      <c r="F41" s="220">
        <f>F15</f>
        <v>1</v>
      </c>
      <c r="G41" s="240" t="s">
        <v>235</v>
      </c>
      <c r="H41" s="34">
        <f>$H$15</f>
        <v>1</v>
      </c>
      <c r="I41" s="211">
        <f>ROUND(H41/(F41*F40),2)</f>
        <v>1</v>
      </c>
      <c r="J41" s="38"/>
      <c r="K41" s="211"/>
    </row>
    <row r="42" spans="1:11">
      <c r="A42" s="35"/>
      <c r="B42" s="112" t="s">
        <v>96</v>
      </c>
      <c r="C42" s="36" t="s">
        <v>95</v>
      </c>
      <c r="D42" s="37" t="s">
        <v>33</v>
      </c>
      <c r="E42" s="117"/>
      <c r="F42" s="241">
        <f>F16</f>
        <v>1</v>
      </c>
      <c r="G42" s="240" t="s">
        <v>236</v>
      </c>
      <c r="H42" s="34">
        <f>$H$16</f>
        <v>1</v>
      </c>
      <c r="I42" s="211">
        <f>ROUND(H42/(F42*F40),2)</f>
        <v>1</v>
      </c>
      <c r="J42" s="38"/>
      <c r="K42" s="211"/>
    </row>
    <row r="43" spans="1:11">
      <c r="A43" s="7"/>
      <c r="B43" s="23"/>
      <c r="C43" s="24" t="s">
        <v>93</v>
      </c>
      <c r="D43" s="25"/>
      <c r="E43" s="55"/>
      <c r="F43" s="219"/>
      <c r="G43" s="97"/>
      <c r="H43" s="16"/>
      <c r="I43" s="213">
        <f>SUM(I34:I42)</f>
        <v>29.990000000000006</v>
      </c>
      <c r="J43" s="14">
        <v>27.1</v>
      </c>
      <c r="K43" s="213">
        <f>I43*J43</f>
        <v>812.72900000000016</v>
      </c>
    </row>
    <row r="44" spans="1:11" ht="6.75" customHeight="1">
      <c r="A44" s="7"/>
      <c r="B44" s="23"/>
      <c r="C44" s="24"/>
      <c r="D44" s="25"/>
      <c r="E44" s="54"/>
      <c r="F44" s="219"/>
      <c r="G44" s="97"/>
      <c r="H44" s="16"/>
      <c r="I44" s="213"/>
      <c r="J44" s="13"/>
      <c r="K44" s="214"/>
    </row>
    <row r="45" spans="1:11" ht="24">
      <c r="A45" s="43" t="s">
        <v>27</v>
      </c>
      <c r="B45" s="113" t="s">
        <v>102</v>
      </c>
      <c r="C45" s="22" t="s">
        <v>76</v>
      </c>
      <c r="D45" s="37" t="s">
        <v>3</v>
      </c>
      <c r="E45" s="55">
        <f>59.83*$A$46*0.31</f>
        <v>24.11149</v>
      </c>
      <c r="F45" s="219">
        <f t="shared" ref="F45:F58" si="9">E45/$A$46</f>
        <v>18.5473</v>
      </c>
      <c r="G45" s="96"/>
      <c r="H45" s="88">
        <v>1</v>
      </c>
      <c r="I45" s="210">
        <f>ROUND(F45*H45,2)</f>
        <v>18.55</v>
      </c>
      <c r="J45" s="38"/>
      <c r="K45" s="211"/>
    </row>
    <row r="46" spans="1:11" ht="24">
      <c r="A46" s="115">
        <v>1.3</v>
      </c>
      <c r="B46" s="22" t="s">
        <v>100</v>
      </c>
      <c r="C46" s="85" t="s">
        <v>77</v>
      </c>
      <c r="D46" s="25" t="s">
        <v>3</v>
      </c>
      <c r="E46" s="55">
        <f>59.83*$A$46*0.69</f>
        <v>53.667509999999993</v>
      </c>
      <c r="F46" s="219">
        <f t="shared" si="9"/>
        <v>41.282699999999991</v>
      </c>
      <c r="G46" s="104"/>
      <c r="H46" s="88">
        <v>1</v>
      </c>
      <c r="I46" s="211">
        <f t="shared" ref="I46:I58" si="10">ROUND(F46*H46,2)</f>
        <v>41.28</v>
      </c>
      <c r="J46" s="38"/>
      <c r="K46" s="211"/>
    </row>
    <row r="47" spans="1:11">
      <c r="A47" s="35"/>
      <c r="B47" s="39" t="s">
        <v>197</v>
      </c>
      <c r="C47" s="36" t="s">
        <v>61</v>
      </c>
      <c r="D47" s="37" t="s">
        <v>33</v>
      </c>
      <c r="E47" s="52">
        <f>40/2</f>
        <v>20</v>
      </c>
      <c r="F47" s="220">
        <f t="shared" si="9"/>
        <v>15.384615384615383</v>
      </c>
      <c r="G47" s="96" t="str">
        <f>"von " &amp;A4</f>
        <v>von Kalotte 6A.1 HR</v>
      </c>
      <c r="H47" s="34">
        <f>H6</f>
        <v>1</v>
      </c>
      <c r="I47" s="211">
        <f t="shared" si="10"/>
        <v>15.38</v>
      </c>
      <c r="J47" s="38"/>
      <c r="K47" s="211"/>
    </row>
    <row r="48" spans="1:11">
      <c r="A48" s="40"/>
      <c r="B48" s="36" t="s">
        <v>202</v>
      </c>
      <c r="C48" s="36" t="s">
        <v>62</v>
      </c>
      <c r="D48" s="37" t="s">
        <v>33</v>
      </c>
      <c r="E48" s="52">
        <f>40/2</f>
        <v>20</v>
      </c>
      <c r="F48" s="220">
        <f t="shared" si="9"/>
        <v>15.384615384615383</v>
      </c>
      <c r="G48" s="96" t="s">
        <v>74</v>
      </c>
      <c r="H48" s="88">
        <v>1</v>
      </c>
      <c r="I48" s="211">
        <f t="shared" si="10"/>
        <v>15.38</v>
      </c>
      <c r="J48" s="38"/>
      <c r="K48" s="211"/>
    </row>
    <row r="49" spans="1:11">
      <c r="A49" s="40"/>
      <c r="B49" s="36" t="s">
        <v>120</v>
      </c>
      <c r="C49" s="36" t="s">
        <v>11</v>
      </c>
      <c r="D49" s="37" t="s">
        <v>4</v>
      </c>
      <c r="E49" s="52">
        <f>18.45*$A$46</f>
        <v>23.984999999999999</v>
      </c>
      <c r="F49" s="220">
        <f t="shared" si="9"/>
        <v>18.45</v>
      </c>
      <c r="G49" s="96"/>
      <c r="H49" s="88">
        <v>1</v>
      </c>
      <c r="I49" s="211">
        <f t="shared" si="10"/>
        <v>18.45</v>
      </c>
      <c r="J49" s="38"/>
      <c r="K49" s="211"/>
    </row>
    <row r="50" spans="1:11">
      <c r="A50" s="35"/>
      <c r="B50" s="39" t="s">
        <v>198</v>
      </c>
      <c r="C50" s="36" t="s">
        <v>41</v>
      </c>
      <c r="D50" s="37" t="s">
        <v>226</v>
      </c>
      <c r="E50" s="52">
        <f>18.45*$A$46*5.38/1000</f>
        <v>0.1290393</v>
      </c>
      <c r="F50" s="220">
        <f t="shared" si="9"/>
        <v>9.9260999999999988E-2</v>
      </c>
      <c r="G50" s="96" t="s">
        <v>74</v>
      </c>
      <c r="H50" s="34">
        <f>H8</f>
        <v>1</v>
      </c>
      <c r="I50" s="211">
        <f t="shared" si="10"/>
        <v>0.1</v>
      </c>
      <c r="J50" s="38"/>
      <c r="K50" s="211"/>
    </row>
    <row r="51" spans="1:11">
      <c r="A51" s="35"/>
      <c r="B51" s="39" t="s">
        <v>198</v>
      </c>
      <c r="C51" s="36" t="s">
        <v>65</v>
      </c>
      <c r="D51" s="37" t="s">
        <v>226</v>
      </c>
      <c r="E51" s="52">
        <f>18.45*$A$46*5.38/1000</f>
        <v>0.1290393</v>
      </c>
      <c r="F51" s="220">
        <f t="shared" si="9"/>
        <v>9.9260999999999988E-2</v>
      </c>
      <c r="G51" s="96" t="s">
        <v>74</v>
      </c>
      <c r="H51" s="34">
        <f>H8</f>
        <v>1</v>
      </c>
      <c r="I51" s="212">
        <f t="shared" si="10"/>
        <v>0.1</v>
      </c>
      <c r="J51" s="38"/>
      <c r="K51" s="211"/>
    </row>
    <row r="52" spans="1:11">
      <c r="A52" s="35"/>
      <c r="B52" s="39" t="s">
        <v>199</v>
      </c>
      <c r="C52" s="36" t="s">
        <v>56</v>
      </c>
      <c r="D52" s="37" t="s">
        <v>6</v>
      </c>
      <c r="E52" s="52">
        <f>2*A46</f>
        <v>2.6</v>
      </c>
      <c r="F52" s="220">
        <f>E52/$A$46</f>
        <v>2</v>
      </c>
      <c r="G52" s="96" t="s">
        <v>74</v>
      </c>
      <c r="H52" s="34">
        <f>H10</f>
        <v>1</v>
      </c>
      <c r="I52" s="211">
        <f t="shared" si="10"/>
        <v>2</v>
      </c>
      <c r="J52" s="38"/>
      <c r="K52" s="211"/>
    </row>
    <row r="53" spans="1:11">
      <c r="A53" s="35"/>
      <c r="B53" s="36" t="s">
        <v>203</v>
      </c>
      <c r="C53" s="36" t="s">
        <v>20</v>
      </c>
      <c r="D53" s="37" t="s">
        <v>226</v>
      </c>
      <c r="E53" s="52">
        <f>19.02*12.9/1000</f>
        <v>0.24535799999999999</v>
      </c>
      <c r="F53" s="220">
        <f t="shared" si="9"/>
        <v>0.18873692307692305</v>
      </c>
      <c r="G53" s="96" t="s">
        <v>74</v>
      </c>
      <c r="H53" s="88">
        <v>1</v>
      </c>
      <c r="I53" s="211">
        <f t="shared" si="10"/>
        <v>0.19</v>
      </c>
      <c r="J53" s="38"/>
      <c r="K53" s="211"/>
    </row>
    <row r="54" spans="1:11">
      <c r="A54" s="35"/>
      <c r="B54" s="39" t="s">
        <v>201</v>
      </c>
      <c r="C54" s="36" t="s">
        <v>9</v>
      </c>
      <c r="D54" s="37" t="s">
        <v>33</v>
      </c>
      <c r="E54" s="52">
        <f>8.5</f>
        <v>8.5</v>
      </c>
      <c r="F54" s="220">
        <f t="shared" si="9"/>
        <v>6.5384615384615383</v>
      </c>
      <c r="G54" s="96" t="str">
        <f>"von "&amp;A4</f>
        <v>von Kalotte 6A.1 HR</v>
      </c>
      <c r="H54" s="34">
        <f>H12</f>
        <v>1</v>
      </c>
      <c r="I54" s="211">
        <f t="shared" si="10"/>
        <v>6.54</v>
      </c>
      <c r="J54" s="38"/>
      <c r="K54" s="211"/>
    </row>
    <row r="55" spans="1:11">
      <c r="A55" s="35"/>
      <c r="B55" s="39" t="s">
        <v>123</v>
      </c>
      <c r="C55" s="36" t="s">
        <v>42</v>
      </c>
      <c r="D55" s="37" t="s">
        <v>4</v>
      </c>
      <c r="E55" s="52">
        <f>59.83</f>
        <v>59.83</v>
      </c>
      <c r="F55" s="220">
        <f>E55/$A$46</f>
        <v>46.023076923076921</v>
      </c>
      <c r="G55" s="96" t="s">
        <v>74</v>
      </c>
      <c r="H55" s="88">
        <v>1</v>
      </c>
      <c r="I55" s="211">
        <f t="shared" si="10"/>
        <v>46.02</v>
      </c>
      <c r="J55" s="38"/>
      <c r="K55" s="211"/>
    </row>
    <row r="56" spans="1:11">
      <c r="A56" s="35"/>
      <c r="B56" s="39" t="s">
        <v>204</v>
      </c>
      <c r="C56" s="36" t="s">
        <v>12</v>
      </c>
      <c r="D56" s="37" t="s">
        <v>226</v>
      </c>
      <c r="E56" s="52">
        <f>59.83*3.02/1000</f>
        <v>0.1806866</v>
      </c>
      <c r="F56" s="220">
        <f t="shared" si="9"/>
        <v>0.13898969230769231</v>
      </c>
      <c r="G56" s="96" t="s">
        <v>74</v>
      </c>
      <c r="H56" s="88">
        <v>1</v>
      </c>
      <c r="I56" s="211">
        <f t="shared" si="10"/>
        <v>0.14000000000000001</v>
      </c>
      <c r="J56" s="38"/>
      <c r="K56" s="211"/>
    </row>
    <row r="57" spans="1:11">
      <c r="A57" s="35"/>
      <c r="B57" s="39" t="s">
        <v>214</v>
      </c>
      <c r="C57" s="36" t="s">
        <v>40</v>
      </c>
      <c r="D57" s="37" t="s">
        <v>5</v>
      </c>
      <c r="E57" s="52">
        <f>5/7.8*$A$46</f>
        <v>0.83333333333333348</v>
      </c>
      <c r="F57" s="220">
        <f t="shared" si="9"/>
        <v>0.64102564102564108</v>
      </c>
      <c r="G57" s="96" t="s">
        <v>74</v>
      </c>
      <c r="H57" s="88">
        <v>1</v>
      </c>
      <c r="I57" s="211">
        <f t="shared" si="10"/>
        <v>0.64</v>
      </c>
      <c r="J57" s="38"/>
      <c r="K57" s="211"/>
    </row>
    <row r="58" spans="1:11">
      <c r="A58" s="35"/>
      <c r="B58" s="39" t="s">
        <v>215</v>
      </c>
      <c r="C58" s="36" t="s">
        <v>21</v>
      </c>
      <c r="D58" s="37" t="s">
        <v>3</v>
      </c>
      <c r="E58" s="52">
        <f>0.76*$A$46</f>
        <v>0.9880000000000001</v>
      </c>
      <c r="F58" s="220">
        <f t="shared" si="9"/>
        <v>0.76</v>
      </c>
      <c r="G58" s="96" t="s">
        <v>74</v>
      </c>
      <c r="H58" s="88">
        <v>1</v>
      </c>
      <c r="I58" s="211">
        <f t="shared" si="10"/>
        <v>0.76</v>
      </c>
      <c r="J58" s="38"/>
      <c r="K58" s="211"/>
    </row>
    <row r="59" spans="1:11">
      <c r="A59" s="35"/>
      <c r="C59" s="36"/>
      <c r="D59" s="37" t="s">
        <v>249</v>
      </c>
      <c r="E59" s="117"/>
      <c r="F59" s="218">
        <v>1</v>
      </c>
      <c r="G59" s="240" t="s">
        <v>240</v>
      </c>
      <c r="I59" s="211"/>
      <c r="J59" s="38"/>
      <c r="K59" s="211"/>
    </row>
    <row r="60" spans="1:11">
      <c r="A60" s="35"/>
      <c r="B60" s="112" t="s">
        <v>94</v>
      </c>
      <c r="C60" s="36" t="s">
        <v>97</v>
      </c>
      <c r="D60" s="37" t="s">
        <v>33</v>
      </c>
      <c r="E60" s="117"/>
      <c r="F60" s="220">
        <f>F15</f>
        <v>1</v>
      </c>
      <c r="G60" s="240" t="s">
        <v>235</v>
      </c>
      <c r="H60" s="34">
        <f>$H$15</f>
        <v>1</v>
      </c>
      <c r="I60" s="211">
        <f>ROUND(H60/(F60*F59),2)</f>
        <v>1</v>
      </c>
      <c r="J60" s="38"/>
      <c r="K60" s="211"/>
    </row>
    <row r="61" spans="1:11">
      <c r="A61" s="35"/>
      <c r="B61" s="112" t="s">
        <v>96</v>
      </c>
      <c r="C61" s="36" t="s">
        <v>95</v>
      </c>
      <c r="D61" s="37" t="s">
        <v>33</v>
      </c>
      <c r="E61" s="117"/>
      <c r="F61" s="241">
        <f>F16</f>
        <v>1</v>
      </c>
      <c r="G61" s="240" t="s">
        <v>236</v>
      </c>
      <c r="H61" s="34">
        <f>$H$16</f>
        <v>1</v>
      </c>
      <c r="I61" s="211">
        <f>ROUND(H61/(F61*F59),2)</f>
        <v>1</v>
      </c>
      <c r="J61" s="38"/>
      <c r="K61" s="211"/>
    </row>
    <row r="62" spans="1:11">
      <c r="A62" s="6"/>
      <c r="B62" s="27"/>
      <c r="C62" s="24" t="s">
        <v>93</v>
      </c>
      <c r="D62" s="26"/>
      <c r="E62" s="55"/>
      <c r="F62" s="221"/>
      <c r="G62" s="98"/>
      <c r="H62" s="31"/>
      <c r="I62" s="210">
        <f>SUM(I45:I61)</f>
        <v>167.52999999999994</v>
      </c>
      <c r="J62" s="15">
        <v>126.3</v>
      </c>
      <c r="K62" s="213">
        <f>I62*J62</f>
        <v>21159.038999999993</v>
      </c>
    </row>
    <row r="63" spans="1:11" ht="7.15" customHeight="1">
      <c r="A63" s="7"/>
      <c r="B63" s="23"/>
      <c r="C63" s="24"/>
      <c r="D63" s="25"/>
      <c r="E63" s="55"/>
      <c r="F63" s="219"/>
      <c r="G63" s="97"/>
      <c r="H63" s="16"/>
      <c r="I63" s="213"/>
      <c r="J63" s="14"/>
      <c r="K63" s="213"/>
    </row>
    <row r="64" spans="1:11" ht="36">
      <c r="A64" s="43" t="s">
        <v>28</v>
      </c>
      <c r="B64" s="39" t="s">
        <v>106</v>
      </c>
      <c r="C64" s="85" t="s">
        <v>91</v>
      </c>
      <c r="D64" s="25" t="s">
        <v>3</v>
      </c>
      <c r="E64" s="55">
        <f>(70.35-59.83)*$A$65*1</f>
        <v>27.35199999999999</v>
      </c>
      <c r="F64" s="219">
        <f t="shared" ref="F64:F69" si="11">E64/$A$65</f>
        <v>10.519999999999996</v>
      </c>
      <c r="G64" s="104"/>
      <c r="H64" s="88">
        <v>1</v>
      </c>
      <c r="I64" s="211">
        <f t="shared" ref="I64:I69" si="12">ROUND(F64*H64,2)</f>
        <v>10.52</v>
      </c>
      <c r="J64" s="38"/>
      <c r="K64" s="211"/>
    </row>
    <row r="65" spans="1:11">
      <c r="A65" s="115">
        <v>2.6</v>
      </c>
      <c r="B65" s="39" t="s">
        <v>216</v>
      </c>
      <c r="C65" s="36" t="s">
        <v>29</v>
      </c>
      <c r="D65" s="37" t="s">
        <v>4</v>
      </c>
      <c r="E65" s="52">
        <f>12.32*$A$65</f>
        <v>32.032000000000004</v>
      </c>
      <c r="F65" s="220">
        <f t="shared" si="11"/>
        <v>12.32</v>
      </c>
      <c r="G65" s="96" t="s">
        <v>74</v>
      </c>
      <c r="H65" s="88">
        <v>1</v>
      </c>
      <c r="I65" s="211">
        <f t="shared" si="12"/>
        <v>12.32</v>
      </c>
      <c r="J65" s="38"/>
      <c r="K65" s="211"/>
    </row>
    <row r="66" spans="1:11">
      <c r="A66" s="35"/>
      <c r="B66" s="39" t="s">
        <v>198</v>
      </c>
      <c r="C66" s="36" t="s">
        <v>83</v>
      </c>
      <c r="D66" s="37" t="s">
        <v>226</v>
      </c>
      <c r="E66" s="52">
        <f>12.32*$A$65*5.38/1000</f>
        <v>0.17233216000000001</v>
      </c>
      <c r="F66" s="220">
        <f t="shared" si="11"/>
        <v>6.6281599999999996E-2</v>
      </c>
      <c r="G66" s="96" t="s">
        <v>74</v>
      </c>
      <c r="H66" s="34">
        <f>H8</f>
        <v>1</v>
      </c>
      <c r="I66" s="211">
        <f t="shared" si="12"/>
        <v>7.0000000000000007E-2</v>
      </c>
      <c r="J66" s="38"/>
      <c r="K66" s="211"/>
    </row>
    <row r="67" spans="1:11">
      <c r="A67" s="35"/>
      <c r="B67" s="39" t="s">
        <v>198</v>
      </c>
      <c r="C67" s="36" t="s">
        <v>84</v>
      </c>
      <c r="D67" s="37" t="s">
        <v>226</v>
      </c>
      <c r="E67" s="52">
        <f>12.32*$A$65*5.38/1000</f>
        <v>0.17233216000000001</v>
      </c>
      <c r="F67" s="220">
        <f t="shared" si="11"/>
        <v>6.6281599999999996E-2</v>
      </c>
      <c r="G67" s="96" t="s">
        <v>74</v>
      </c>
      <c r="H67" s="34">
        <f>H66</f>
        <v>1</v>
      </c>
      <c r="I67" s="211">
        <f t="shared" si="12"/>
        <v>7.0000000000000007E-2</v>
      </c>
      <c r="J67" s="38"/>
      <c r="K67" s="211"/>
    </row>
    <row r="68" spans="1:11">
      <c r="A68" s="35"/>
      <c r="B68" s="39" t="s">
        <v>199</v>
      </c>
      <c r="C68" s="36" t="s">
        <v>90</v>
      </c>
      <c r="D68" s="37" t="s">
        <v>6</v>
      </c>
      <c r="E68" s="52">
        <f>2*A65</f>
        <v>5.2</v>
      </c>
      <c r="F68" s="220">
        <f t="shared" si="11"/>
        <v>2</v>
      </c>
      <c r="G68" s="96" t="str">
        <f>"von "&amp;A$34</f>
        <v>von Kalottensohle 6A.2 HR</v>
      </c>
      <c r="H68" s="10">
        <f>H10</f>
        <v>1</v>
      </c>
      <c r="I68" s="211">
        <f t="shared" si="12"/>
        <v>2</v>
      </c>
      <c r="J68" s="38"/>
      <c r="K68" s="211"/>
    </row>
    <row r="69" spans="1:11">
      <c r="A69" s="35"/>
      <c r="B69" s="39" t="s">
        <v>122</v>
      </c>
      <c r="C69" s="36" t="s">
        <v>10</v>
      </c>
      <c r="D69" s="37" t="s">
        <v>4</v>
      </c>
      <c r="E69" s="52">
        <f>(70.35-59.83)</f>
        <v>10.519999999999996</v>
      </c>
      <c r="F69" s="220">
        <f t="shared" si="11"/>
        <v>4.0461538461538442</v>
      </c>
      <c r="G69" s="96" t="str">
        <f>"von "&amp;A$34</f>
        <v>von Kalottensohle 6A.2 HR</v>
      </c>
      <c r="H69" s="34">
        <f>H13</f>
        <v>1</v>
      </c>
      <c r="I69" s="211">
        <f t="shared" si="12"/>
        <v>4.05</v>
      </c>
      <c r="J69" s="38"/>
      <c r="K69" s="211"/>
    </row>
    <row r="70" spans="1:11">
      <c r="A70" s="35"/>
      <c r="C70" s="36"/>
      <c r="D70" s="37" t="s">
        <v>249</v>
      </c>
      <c r="E70" s="117"/>
      <c r="F70" s="218">
        <v>1</v>
      </c>
      <c r="G70" s="240" t="s">
        <v>241</v>
      </c>
      <c r="H70" s="34"/>
      <c r="J70" s="38"/>
      <c r="K70" s="211"/>
    </row>
    <row r="71" spans="1:11">
      <c r="A71" s="35"/>
      <c r="B71" s="112" t="s">
        <v>94</v>
      </c>
      <c r="C71" s="36" t="s">
        <v>97</v>
      </c>
      <c r="D71" s="37" t="s">
        <v>33</v>
      </c>
      <c r="E71" s="117"/>
      <c r="F71" s="220">
        <f>F15</f>
        <v>1</v>
      </c>
      <c r="G71" s="240" t="s">
        <v>235</v>
      </c>
      <c r="H71" s="34">
        <f>$H$15</f>
        <v>1</v>
      </c>
      <c r="I71" s="211">
        <f>ROUND(H71/(F71*F70),2)</f>
        <v>1</v>
      </c>
      <c r="J71" s="38"/>
      <c r="K71" s="211"/>
    </row>
    <row r="72" spans="1:11">
      <c r="A72" s="35"/>
      <c r="B72" s="112" t="s">
        <v>96</v>
      </c>
      <c r="C72" s="36" t="s">
        <v>95</v>
      </c>
      <c r="D72" s="37" t="s">
        <v>33</v>
      </c>
      <c r="E72" s="117"/>
      <c r="F72" s="241">
        <f>F16</f>
        <v>1</v>
      </c>
      <c r="G72" s="240" t="s">
        <v>236</v>
      </c>
      <c r="H72" s="34">
        <f>$H$16</f>
        <v>1</v>
      </c>
      <c r="I72" s="211">
        <f>ROUND(H72/(F72*F70),2)</f>
        <v>1</v>
      </c>
      <c r="J72" s="38"/>
      <c r="K72" s="211"/>
    </row>
    <row r="73" spans="1:11">
      <c r="A73" s="7"/>
      <c r="B73" s="23"/>
      <c r="C73" s="24" t="s">
        <v>93</v>
      </c>
      <c r="D73" s="25"/>
      <c r="E73" s="55"/>
      <c r="F73" s="219"/>
      <c r="G73" s="97"/>
      <c r="H73" s="16"/>
      <c r="I73" s="213">
        <f>SUM(I64:I72)</f>
        <v>31.03</v>
      </c>
      <c r="J73" s="14">
        <v>51.4</v>
      </c>
      <c r="K73" s="213">
        <f>I73*J73</f>
        <v>1594.942</v>
      </c>
    </row>
    <row r="74" spans="1:11" ht="6.75" customHeight="1">
      <c r="A74" s="7"/>
      <c r="B74" s="23"/>
      <c r="C74" s="24"/>
      <c r="D74" s="25"/>
      <c r="E74" s="55"/>
      <c r="F74" s="219"/>
      <c r="G74" s="97"/>
      <c r="H74" s="16"/>
      <c r="I74" s="213"/>
      <c r="J74" s="14"/>
      <c r="K74" s="213"/>
    </row>
    <row r="75" spans="1:11" ht="24">
      <c r="A75" s="43" t="s">
        <v>38</v>
      </c>
      <c r="B75" s="119" t="s">
        <v>218</v>
      </c>
      <c r="C75" s="86" t="s">
        <v>58</v>
      </c>
      <c r="D75" s="57" t="s">
        <v>3</v>
      </c>
      <c r="E75" s="54">
        <f>(60.81)*$A$76*1</f>
        <v>60.81</v>
      </c>
      <c r="F75" s="220">
        <f t="shared" ref="F75:F87" si="13">E75/$A$76</f>
        <v>60.81</v>
      </c>
      <c r="G75" s="96"/>
      <c r="H75" s="88">
        <v>1</v>
      </c>
      <c r="I75" s="210">
        <f>ROUND(F75*H75,2)</f>
        <v>60.81</v>
      </c>
      <c r="J75" s="38"/>
      <c r="K75" s="211"/>
    </row>
    <row r="76" spans="1:11">
      <c r="A76" s="118">
        <v>1</v>
      </c>
      <c r="B76" s="39" t="s">
        <v>197</v>
      </c>
      <c r="C76" s="36" t="s">
        <v>61</v>
      </c>
      <c r="D76" s="37" t="s">
        <v>33</v>
      </c>
      <c r="E76" s="52">
        <f>40/2</f>
        <v>20</v>
      </c>
      <c r="F76" s="221">
        <f t="shared" si="13"/>
        <v>20</v>
      </c>
      <c r="G76" s="96" t="str">
        <f>"von "&amp;A4</f>
        <v>von Kalotte 6A.1 HR</v>
      </c>
      <c r="H76" s="34">
        <f>H47</f>
        <v>1</v>
      </c>
      <c r="I76" s="211">
        <f t="shared" ref="I76:I87" si="14">ROUND(F76*H76,2)</f>
        <v>20</v>
      </c>
      <c r="J76" s="38"/>
      <c r="K76" s="211"/>
    </row>
    <row r="77" spans="1:11">
      <c r="A77" s="40"/>
      <c r="B77" s="36" t="s">
        <v>202</v>
      </c>
      <c r="C77" s="36" t="s">
        <v>62</v>
      </c>
      <c r="D77" s="37" t="s">
        <v>33</v>
      </c>
      <c r="E77" s="52">
        <f>40/2</f>
        <v>20</v>
      </c>
      <c r="F77" s="220">
        <f t="shared" si="13"/>
        <v>20</v>
      </c>
      <c r="G77" s="96" t="str">
        <f>"von "&amp;A$45</f>
        <v>von Kalotte 7A.1 HR</v>
      </c>
      <c r="H77" s="34">
        <f>H48</f>
        <v>1</v>
      </c>
      <c r="I77" s="211">
        <f t="shared" si="14"/>
        <v>20</v>
      </c>
      <c r="J77" s="38"/>
      <c r="K77" s="211"/>
    </row>
    <row r="78" spans="1:11">
      <c r="A78" s="40"/>
      <c r="B78" s="36" t="s">
        <v>121</v>
      </c>
      <c r="C78" s="36" t="s">
        <v>19</v>
      </c>
      <c r="D78" s="37" t="s">
        <v>4</v>
      </c>
      <c r="E78" s="52">
        <f>18.45*$A$76</f>
        <v>18.45</v>
      </c>
      <c r="F78" s="220">
        <f t="shared" si="13"/>
        <v>18.45</v>
      </c>
      <c r="G78" s="96" t="s">
        <v>74</v>
      </c>
      <c r="H78" s="88">
        <v>1</v>
      </c>
      <c r="I78" s="211">
        <f t="shared" si="14"/>
        <v>18.45</v>
      </c>
      <c r="J78" s="38"/>
      <c r="K78" s="211"/>
    </row>
    <row r="79" spans="1:11">
      <c r="A79" s="40"/>
      <c r="B79" s="39" t="s">
        <v>198</v>
      </c>
      <c r="C79" s="36" t="s">
        <v>41</v>
      </c>
      <c r="D79" s="37" t="s">
        <v>226</v>
      </c>
      <c r="E79" s="52">
        <f>18.45*$A$76*5.38/1000</f>
        <v>9.9261000000000002E-2</v>
      </c>
      <c r="F79" s="220">
        <f t="shared" si="13"/>
        <v>9.9261000000000002E-2</v>
      </c>
      <c r="G79" s="96" t="str">
        <f>"von "&amp;A$45</f>
        <v>von Kalotte 7A.1 HR</v>
      </c>
      <c r="H79" s="34">
        <f>H50</f>
        <v>1</v>
      </c>
      <c r="I79" s="211">
        <f t="shared" si="14"/>
        <v>0.1</v>
      </c>
      <c r="J79" s="38"/>
      <c r="K79" s="211"/>
    </row>
    <row r="80" spans="1:11">
      <c r="A80" s="35"/>
      <c r="B80" s="39" t="s">
        <v>198</v>
      </c>
      <c r="C80" s="36" t="s">
        <v>65</v>
      </c>
      <c r="D80" s="37" t="s">
        <v>226</v>
      </c>
      <c r="E80" s="52">
        <f>18.45*$A$76*5.38/1000</f>
        <v>9.9261000000000002E-2</v>
      </c>
      <c r="F80" s="220">
        <f t="shared" si="13"/>
        <v>9.9261000000000002E-2</v>
      </c>
      <c r="G80" s="96" t="str">
        <f>"von "&amp;A$45</f>
        <v>von Kalotte 7A.1 HR</v>
      </c>
      <c r="H80" s="34">
        <f>H51</f>
        <v>1</v>
      </c>
      <c r="I80" s="212">
        <f t="shared" si="14"/>
        <v>0.1</v>
      </c>
      <c r="J80" s="38"/>
      <c r="K80" s="211"/>
    </row>
    <row r="81" spans="1:11">
      <c r="A81" s="35"/>
      <c r="B81" s="39" t="s">
        <v>199</v>
      </c>
      <c r="C81" s="36" t="s">
        <v>56</v>
      </c>
      <c r="D81" s="37" t="s">
        <v>6</v>
      </c>
      <c r="E81" s="52">
        <f>2*A76</f>
        <v>2</v>
      </c>
      <c r="F81" s="220">
        <f t="shared" si="13"/>
        <v>2</v>
      </c>
      <c r="G81" s="96" t="str">
        <f>"von "&amp;A$45</f>
        <v>von Kalotte 7A.1 HR</v>
      </c>
      <c r="H81" s="34">
        <f>H52</f>
        <v>1</v>
      </c>
      <c r="I81" s="211">
        <f t="shared" si="14"/>
        <v>2</v>
      </c>
      <c r="J81" s="38"/>
      <c r="K81" s="211"/>
    </row>
    <row r="82" spans="1:11">
      <c r="A82" s="35"/>
      <c r="B82" s="36" t="s">
        <v>203</v>
      </c>
      <c r="C82" s="36" t="s">
        <v>20</v>
      </c>
      <c r="D82" s="37" t="s">
        <v>226</v>
      </c>
      <c r="E82" s="52">
        <f>19.18*12.9/1000</f>
        <v>0.247422</v>
      </c>
      <c r="F82" s="220">
        <f t="shared" si="13"/>
        <v>0.247422</v>
      </c>
      <c r="G82" s="96" t="str">
        <f>"von "&amp;A$45</f>
        <v>von Kalotte 7A.1 HR</v>
      </c>
      <c r="H82" s="34">
        <f>H53</f>
        <v>1</v>
      </c>
      <c r="I82" s="211">
        <f t="shared" si="14"/>
        <v>0.25</v>
      </c>
      <c r="J82" s="38"/>
      <c r="K82" s="211"/>
    </row>
    <row r="83" spans="1:11">
      <c r="A83" s="35"/>
      <c r="B83" s="39" t="s">
        <v>217</v>
      </c>
      <c r="C83" s="36" t="s">
        <v>14</v>
      </c>
      <c r="D83" s="37" t="s">
        <v>33</v>
      </c>
      <c r="E83" s="52">
        <f>10.5</f>
        <v>10.5</v>
      </c>
      <c r="F83" s="220">
        <f t="shared" si="13"/>
        <v>10.5</v>
      </c>
      <c r="G83" s="96" t="s">
        <v>74</v>
      </c>
      <c r="H83" s="88">
        <v>1</v>
      </c>
      <c r="I83" s="211">
        <f t="shared" si="14"/>
        <v>10.5</v>
      </c>
      <c r="J83" s="38"/>
      <c r="K83" s="211"/>
    </row>
    <row r="84" spans="1:11">
      <c r="A84" s="35"/>
      <c r="B84" s="39" t="s">
        <v>123</v>
      </c>
      <c r="C84" s="36" t="s">
        <v>42</v>
      </c>
      <c r="D84" s="37" t="s">
        <v>4</v>
      </c>
      <c r="E84" s="52">
        <f>60.81</f>
        <v>60.81</v>
      </c>
      <c r="F84" s="220">
        <f t="shared" si="13"/>
        <v>60.81</v>
      </c>
      <c r="G84" s="96" t="str">
        <f>"von "&amp;A$45</f>
        <v>von Kalotte 7A.1 HR</v>
      </c>
      <c r="H84" s="34">
        <f>H55</f>
        <v>1</v>
      </c>
      <c r="I84" s="211">
        <f t="shared" si="14"/>
        <v>60.81</v>
      </c>
      <c r="J84" s="38"/>
      <c r="K84" s="211"/>
    </row>
    <row r="85" spans="1:11">
      <c r="A85" s="35"/>
      <c r="B85" s="39" t="s">
        <v>204</v>
      </c>
      <c r="C85" s="36" t="s">
        <v>12</v>
      </c>
      <c r="D85" s="37" t="s">
        <v>226</v>
      </c>
      <c r="E85" s="52">
        <f>60.81*3.02/1000</f>
        <v>0.18364620000000001</v>
      </c>
      <c r="F85" s="220">
        <f t="shared" si="13"/>
        <v>0.18364620000000001</v>
      </c>
      <c r="G85" s="96" t="str">
        <f>"von "&amp;A$45</f>
        <v>von Kalotte 7A.1 HR</v>
      </c>
      <c r="H85" s="34">
        <f>H56</f>
        <v>1</v>
      </c>
      <c r="I85" s="211">
        <f t="shared" si="14"/>
        <v>0.18</v>
      </c>
      <c r="J85" s="38"/>
      <c r="K85" s="211"/>
    </row>
    <row r="86" spans="1:11">
      <c r="A86" s="35"/>
      <c r="B86" s="39" t="s">
        <v>214</v>
      </c>
      <c r="C86" s="36" t="s">
        <v>40</v>
      </c>
      <c r="D86" s="37" t="s">
        <v>5</v>
      </c>
      <c r="E86" s="52">
        <f>8/8*$A$76</f>
        <v>1</v>
      </c>
      <c r="F86" s="220">
        <f t="shared" si="13"/>
        <v>1</v>
      </c>
      <c r="G86" s="96" t="str">
        <f>"von "&amp;A$45</f>
        <v>von Kalotte 7A.1 HR</v>
      </c>
      <c r="H86" s="34">
        <f>H57</f>
        <v>1</v>
      </c>
      <c r="I86" s="211">
        <f t="shared" si="14"/>
        <v>1</v>
      </c>
      <c r="J86" s="38"/>
      <c r="K86" s="211"/>
    </row>
    <row r="87" spans="1:11">
      <c r="A87" s="35"/>
      <c r="B87" s="39" t="s">
        <v>215</v>
      </c>
      <c r="C87" s="36" t="s">
        <v>21</v>
      </c>
      <c r="D87" s="37" t="s">
        <v>3</v>
      </c>
      <c r="E87" s="52">
        <f>0.76</f>
        <v>0.76</v>
      </c>
      <c r="F87" s="220">
        <f t="shared" si="13"/>
        <v>0.76</v>
      </c>
      <c r="G87" s="96" t="str">
        <f>"von "&amp;A$45</f>
        <v>von Kalotte 7A.1 HR</v>
      </c>
      <c r="H87" s="34">
        <f>H58</f>
        <v>1</v>
      </c>
      <c r="I87" s="211">
        <f t="shared" si="14"/>
        <v>0.76</v>
      </c>
      <c r="J87" s="38"/>
      <c r="K87" s="211"/>
    </row>
    <row r="88" spans="1:11">
      <c r="A88" s="35"/>
      <c r="C88" s="36"/>
      <c r="D88" s="37" t="s">
        <v>249</v>
      </c>
      <c r="E88" s="117"/>
      <c r="F88" s="218">
        <v>1</v>
      </c>
      <c r="G88" s="240" t="s">
        <v>244</v>
      </c>
      <c r="H88" s="34"/>
      <c r="J88" s="38"/>
      <c r="K88" s="211"/>
    </row>
    <row r="89" spans="1:11">
      <c r="A89" s="35"/>
      <c r="B89" s="112" t="s">
        <v>94</v>
      </c>
      <c r="C89" s="36" t="s">
        <v>97</v>
      </c>
      <c r="D89" s="37" t="s">
        <v>33</v>
      </c>
      <c r="E89" s="117"/>
      <c r="F89" s="220">
        <f>F15</f>
        <v>1</v>
      </c>
      <c r="G89" s="240" t="s">
        <v>235</v>
      </c>
      <c r="H89" s="34">
        <f>$H$15</f>
        <v>1</v>
      </c>
      <c r="I89" s="211">
        <f>ROUND(H89/(F89*F88),2)</f>
        <v>1</v>
      </c>
      <c r="J89" s="38"/>
      <c r="K89" s="211"/>
    </row>
    <row r="90" spans="1:11">
      <c r="A90" s="35"/>
      <c r="B90" s="112" t="s">
        <v>96</v>
      </c>
      <c r="C90" s="36" t="s">
        <v>95</v>
      </c>
      <c r="D90" s="37" t="s">
        <v>33</v>
      </c>
      <c r="E90" s="117"/>
      <c r="F90" s="241">
        <f>F16</f>
        <v>1</v>
      </c>
      <c r="G90" s="240" t="s">
        <v>236</v>
      </c>
      <c r="H90" s="34">
        <f>$H$16</f>
        <v>1</v>
      </c>
      <c r="I90" s="211">
        <f>ROUND(H90/(F90*F88),2)</f>
        <v>1</v>
      </c>
      <c r="J90" s="38"/>
      <c r="K90" s="211"/>
    </row>
    <row r="91" spans="1:11">
      <c r="A91" s="6"/>
      <c r="B91" s="27"/>
      <c r="C91" s="24" t="s">
        <v>93</v>
      </c>
      <c r="D91" s="26"/>
      <c r="E91" s="55"/>
      <c r="F91" s="221"/>
      <c r="G91" s="98"/>
      <c r="H91" s="31"/>
      <c r="I91" s="210">
        <f>SUM(I75:I90)</f>
        <v>196.95999999999998</v>
      </c>
      <c r="J91" s="15">
        <v>78</v>
      </c>
      <c r="K91" s="213">
        <f>I91*J91</f>
        <v>15362.88</v>
      </c>
    </row>
    <row r="92" spans="1:11" ht="7.15" customHeight="1">
      <c r="A92" s="7"/>
      <c r="B92" s="23"/>
      <c r="C92" s="24"/>
      <c r="D92" s="25"/>
      <c r="E92" s="55"/>
      <c r="F92" s="219"/>
      <c r="G92" s="97"/>
      <c r="H92" s="16"/>
      <c r="I92" s="213"/>
      <c r="J92" s="14"/>
      <c r="K92" s="213"/>
    </row>
    <row r="93" spans="1:11" ht="36">
      <c r="A93" s="43" t="s">
        <v>39</v>
      </c>
      <c r="B93" s="39" t="s">
        <v>107</v>
      </c>
      <c r="C93" s="85" t="s">
        <v>87</v>
      </c>
      <c r="D93" s="25" t="s">
        <v>3</v>
      </c>
      <c r="E93" s="55">
        <f>10.52*$A$94*1</f>
        <v>21.04</v>
      </c>
      <c r="F93" s="219">
        <f t="shared" ref="F93:F98" si="15">E93/$A$94</f>
        <v>10.52</v>
      </c>
      <c r="G93" s="97"/>
      <c r="H93" s="92">
        <v>1</v>
      </c>
      <c r="I93" s="213">
        <f>ROUND(F93*H93,2)</f>
        <v>10.52</v>
      </c>
      <c r="J93" s="38"/>
      <c r="K93" s="211"/>
    </row>
    <row r="94" spans="1:11">
      <c r="A94" s="118">
        <v>2</v>
      </c>
      <c r="B94" s="39" t="s">
        <v>216</v>
      </c>
      <c r="C94" s="36" t="s">
        <v>22</v>
      </c>
      <c r="D94" s="37" t="s">
        <v>4</v>
      </c>
      <c r="E94" s="52">
        <f>12.32*$A$94</f>
        <v>24.64</v>
      </c>
      <c r="F94" s="220">
        <f t="shared" si="15"/>
        <v>12.32</v>
      </c>
      <c r="G94" s="96" t="str">
        <f>"von "&amp;A64</f>
        <v>von Kalottensohle 7A.1 HR</v>
      </c>
      <c r="H94" s="34">
        <f>H65</f>
        <v>1</v>
      </c>
      <c r="I94" s="211">
        <f t="shared" ref="I94:I98" si="16">ROUND(F94*H94,2)</f>
        <v>12.32</v>
      </c>
      <c r="J94" s="38"/>
      <c r="K94" s="211"/>
    </row>
    <row r="95" spans="1:11">
      <c r="A95" s="35"/>
      <c r="B95" s="39" t="s">
        <v>198</v>
      </c>
      <c r="C95" s="36" t="s">
        <v>83</v>
      </c>
      <c r="D95" s="37" t="s">
        <v>226</v>
      </c>
      <c r="E95" s="52">
        <f>12.32*$A$94*5.38/1000</f>
        <v>0.13256319999999999</v>
      </c>
      <c r="F95" s="220">
        <f t="shared" si="15"/>
        <v>6.6281599999999996E-2</v>
      </c>
      <c r="G95" s="96" t="str">
        <f>"von "&amp;A64</f>
        <v>von Kalottensohle 7A.1 HR</v>
      </c>
      <c r="H95" s="34">
        <f>H66</f>
        <v>1</v>
      </c>
      <c r="I95" s="211">
        <f t="shared" si="16"/>
        <v>7.0000000000000007E-2</v>
      </c>
      <c r="J95" s="38"/>
      <c r="K95" s="211"/>
    </row>
    <row r="96" spans="1:11">
      <c r="A96" s="35"/>
      <c r="B96" s="39" t="s">
        <v>198</v>
      </c>
      <c r="C96" s="36" t="s">
        <v>84</v>
      </c>
      <c r="D96" s="37" t="s">
        <v>226</v>
      </c>
      <c r="E96" s="52">
        <f>12.32*$A$94*5.38/1000</f>
        <v>0.13256319999999999</v>
      </c>
      <c r="F96" s="220">
        <f t="shared" si="15"/>
        <v>6.6281599999999996E-2</v>
      </c>
      <c r="G96" s="96" t="str">
        <f>"von "&amp;A64</f>
        <v>von Kalottensohle 7A.1 HR</v>
      </c>
      <c r="H96" s="34">
        <f>H67</f>
        <v>1</v>
      </c>
      <c r="I96" s="211">
        <f t="shared" si="16"/>
        <v>7.0000000000000007E-2</v>
      </c>
      <c r="J96" s="38"/>
      <c r="K96" s="211"/>
    </row>
    <row r="97" spans="1:11">
      <c r="A97" s="35"/>
      <c r="B97" s="39" t="s">
        <v>199</v>
      </c>
      <c r="C97" s="36" t="s">
        <v>90</v>
      </c>
      <c r="D97" s="37" t="s">
        <v>6</v>
      </c>
      <c r="E97" s="52">
        <f>2*A94</f>
        <v>4</v>
      </c>
      <c r="F97" s="220">
        <f t="shared" si="15"/>
        <v>2</v>
      </c>
      <c r="G97" s="96" t="str">
        <f>"von "&amp;A$34</f>
        <v>von Kalottensohle 6A.2 HR</v>
      </c>
      <c r="H97" s="10">
        <f>H38</f>
        <v>1</v>
      </c>
      <c r="I97" s="212">
        <f t="shared" si="16"/>
        <v>2</v>
      </c>
      <c r="J97" s="38"/>
      <c r="K97" s="211"/>
    </row>
    <row r="98" spans="1:11">
      <c r="A98" s="35"/>
      <c r="B98" s="39" t="s">
        <v>122</v>
      </c>
      <c r="C98" s="36" t="s">
        <v>10</v>
      </c>
      <c r="D98" s="37" t="s">
        <v>4</v>
      </c>
      <c r="E98" s="52">
        <v>10.52</v>
      </c>
      <c r="F98" s="220">
        <f t="shared" si="15"/>
        <v>5.26</v>
      </c>
      <c r="G98" s="96" t="str">
        <f>"von "&amp;A$34</f>
        <v>von Kalottensohle 6A.2 HR</v>
      </c>
      <c r="H98" s="34">
        <f>H39</f>
        <v>1</v>
      </c>
      <c r="I98" s="211">
        <f t="shared" si="16"/>
        <v>5.26</v>
      </c>
      <c r="J98" s="38"/>
      <c r="K98" s="211"/>
    </row>
    <row r="99" spans="1:11">
      <c r="A99" s="35"/>
      <c r="C99" s="36"/>
      <c r="D99" s="37" t="s">
        <v>249</v>
      </c>
      <c r="E99" s="117"/>
      <c r="F99" s="218">
        <v>1</v>
      </c>
      <c r="G99" s="240" t="s">
        <v>245</v>
      </c>
      <c r="H99" s="34"/>
      <c r="J99" s="38"/>
      <c r="K99" s="211"/>
    </row>
    <row r="100" spans="1:11">
      <c r="A100" s="35"/>
      <c r="B100" s="112" t="s">
        <v>94</v>
      </c>
      <c r="C100" s="36" t="s">
        <v>97</v>
      </c>
      <c r="D100" s="37" t="s">
        <v>33</v>
      </c>
      <c r="E100" s="117"/>
      <c r="F100" s="220">
        <f>F15</f>
        <v>1</v>
      </c>
      <c r="G100" s="240" t="s">
        <v>235</v>
      </c>
      <c r="H100" s="34">
        <f>$H$15</f>
        <v>1</v>
      </c>
      <c r="I100" s="211">
        <f>ROUND(H100/(F100*F99),2)</f>
        <v>1</v>
      </c>
      <c r="J100" s="38"/>
      <c r="K100" s="211"/>
    </row>
    <row r="101" spans="1:11">
      <c r="A101" s="35"/>
      <c r="B101" s="112" t="s">
        <v>96</v>
      </c>
      <c r="C101" s="36" t="s">
        <v>95</v>
      </c>
      <c r="D101" s="37" t="s">
        <v>33</v>
      </c>
      <c r="E101" s="117"/>
      <c r="F101" s="241">
        <f>F16</f>
        <v>1</v>
      </c>
      <c r="G101" s="240" t="s">
        <v>236</v>
      </c>
      <c r="H101" s="34">
        <f>$H$16</f>
        <v>1</v>
      </c>
      <c r="I101" s="211">
        <f>ROUND(H101/(F101*F99),2)</f>
        <v>1</v>
      </c>
      <c r="J101" s="38"/>
      <c r="K101" s="211"/>
    </row>
    <row r="102" spans="1:11">
      <c r="A102" s="6"/>
      <c r="B102" s="27"/>
      <c r="C102" s="24" t="s">
        <v>93</v>
      </c>
      <c r="D102" s="26"/>
      <c r="E102" s="55"/>
      <c r="F102" s="221"/>
      <c r="G102" s="98"/>
      <c r="H102" s="31"/>
      <c r="I102" s="210">
        <f>SUM(I93:I101)</f>
        <v>32.24</v>
      </c>
      <c r="J102" s="15">
        <v>55.8</v>
      </c>
      <c r="K102" s="210">
        <f>I102*J102</f>
        <v>1798.992</v>
      </c>
    </row>
    <row r="103" spans="1:11" ht="6.75" customHeight="1">
      <c r="A103" s="7"/>
      <c r="B103" s="23"/>
      <c r="C103" s="24"/>
      <c r="D103" s="25"/>
      <c r="E103" s="55"/>
      <c r="F103" s="219"/>
      <c r="G103" s="97"/>
      <c r="H103" s="16"/>
      <c r="I103" s="213"/>
      <c r="J103" s="14"/>
      <c r="K103" s="213"/>
    </row>
    <row r="104" spans="1:11" ht="24">
      <c r="A104" s="43" t="s">
        <v>26</v>
      </c>
      <c r="B104" s="119" t="s">
        <v>104</v>
      </c>
      <c r="C104" s="22" t="s">
        <v>88</v>
      </c>
      <c r="D104" s="37" t="s">
        <v>3</v>
      </c>
      <c r="E104" s="55">
        <f>71.58*$A$105*0.6</f>
        <v>42.948</v>
      </c>
      <c r="F104" s="220">
        <f>E104/$A$105</f>
        <v>42.948</v>
      </c>
      <c r="G104" s="96"/>
      <c r="H104" s="88">
        <v>1</v>
      </c>
      <c r="I104" s="210">
        <f>ROUND(F104*H104,2)</f>
        <v>42.95</v>
      </c>
      <c r="J104" s="38"/>
      <c r="K104" s="211"/>
    </row>
    <row r="105" spans="1:11" ht="24">
      <c r="A105" s="118">
        <v>1</v>
      </c>
      <c r="B105" s="22" t="s">
        <v>103</v>
      </c>
      <c r="C105" s="85" t="s">
        <v>89</v>
      </c>
      <c r="D105" s="25" t="s">
        <v>3</v>
      </c>
      <c r="E105" s="55">
        <f>71.58*$A$105*0.4</f>
        <v>28.632000000000001</v>
      </c>
      <c r="F105" s="219">
        <f t="shared" ref="F105:F116" si="17">E105/$A$105</f>
        <v>28.632000000000001</v>
      </c>
      <c r="G105" s="96"/>
      <c r="H105" s="88">
        <v>1</v>
      </c>
      <c r="I105" s="211">
        <f t="shared" ref="I105:I116" si="18">ROUND(F105*H105,2)</f>
        <v>28.63</v>
      </c>
      <c r="J105" s="38"/>
      <c r="K105" s="211"/>
    </row>
    <row r="106" spans="1:11">
      <c r="A106" s="35"/>
      <c r="B106" s="36" t="s">
        <v>219</v>
      </c>
      <c r="C106" s="36" t="s">
        <v>31</v>
      </c>
      <c r="D106" s="37" t="s">
        <v>6</v>
      </c>
      <c r="E106" s="52">
        <f>15*41/11</f>
        <v>55.909090909090907</v>
      </c>
      <c r="F106" s="220">
        <f t="shared" si="17"/>
        <v>55.909090909090907</v>
      </c>
      <c r="G106" s="96"/>
      <c r="H106" s="88">
        <v>1</v>
      </c>
      <c r="I106" s="211">
        <f t="shared" si="18"/>
        <v>55.91</v>
      </c>
      <c r="J106" s="38"/>
      <c r="K106" s="211"/>
    </row>
    <row r="107" spans="1:11">
      <c r="A107" s="40"/>
      <c r="B107" s="36" t="s">
        <v>121</v>
      </c>
      <c r="C107" s="36" t="s">
        <v>19</v>
      </c>
      <c r="D107" s="37" t="s">
        <v>4</v>
      </c>
      <c r="E107" s="52">
        <f>20.06*$A$105</f>
        <v>20.059999999999999</v>
      </c>
      <c r="F107" s="220">
        <f t="shared" si="17"/>
        <v>20.059999999999999</v>
      </c>
      <c r="G107" s="96" t="str">
        <f>"von "&amp;A75</f>
        <v>von Kalotte 7A.2 HR</v>
      </c>
      <c r="H107" s="34">
        <f>H78</f>
        <v>1</v>
      </c>
      <c r="I107" s="211">
        <f t="shared" si="18"/>
        <v>20.059999999999999</v>
      </c>
      <c r="J107" s="38"/>
      <c r="K107" s="211"/>
    </row>
    <row r="108" spans="1:11">
      <c r="A108" s="35"/>
      <c r="B108" s="39" t="s">
        <v>198</v>
      </c>
      <c r="C108" s="36" t="s">
        <v>41</v>
      </c>
      <c r="D108" s="37" t="s">
        <v>226</v>
      </c>
      <c r="E108" s="52">
        <f>20.06*5.38/1000</f>
        <v>0.1079228</v>
      </c>
      <c r="F108" s="220">
        <f>E108/$A$105</f>
        <v>0.1079228</v>
      </c>
      <c r="G108" s="96" t="str">
        <f>"von "&amp;A$45</f>
        <v>von Kalotte 7A.1 HR</v>
      </c>
      <c r="H108" s="34">
        <f>H50</f>
        <v>1</v>
      </c>
      <c r="I108" s="211">
        <f t="shared" si="18"/>
        <v>0.11</v>
      </c>
      <c r="J108" s="38"/>
      <c r="K108" s="211"/>
    </row>
    <row r="109" spans="1:11">
      <c r="A109" s="35"/>
      <c r="B109" s="39" t="s">
        <v>198</v>
      </c>
      <c r="C109" s="36" t="s">
        <v>65</v>
      </c>
      <c r="D109" s="37" t="s">
        <v>226</v>
      </c>
      <c r="E109" s="52">
        <f>20.06*5.38/1000</f>
        <v>0.1079228</v>
      </c>
      <c r="F109" s="220">
        <f t="shared" si="17"/>
        <v>0.1079228</v>
      </c>
      <c r="G109" s="96" t="str">
        <f>"von "&amp;A$45</f>
        <v>von Kalotte 7A.1 HR</v>
      </c>
      <c r="H109" s="34">
        <f>H51</f>
        <v>1</v>
      </c>
      <c r="I109" s="212">
        <f t="shared" si="18"/>
        <v>0.11</v>
      </c>
      <c r="J109" s="38"/>
      <c r="K109" s="211"/>
    </row>
    <row r="110" spans="1:11">
      <c r="A110" s="35"/>
      <c r="B110" s="39" t="s">
        <v>199</v>
      </c>
      <c r="C110" s="36" t="s">
        <v>56</v>
      </c>
      <c r="D110" s="37" t="s">
        <v>6</v>
      </c>
      <c r="E110" s="52">
        <f>2*A105</f>
        <v>2</v>
      </c>
      <c r="F110" s="220">
        <f>E110/$A$105</f>
        <v>2</v>
      </c>
      <c r="G110" s="96" t="str">
        <f>"von "&amp;A$45</f>
        <v>von Kalotte 7A.1 HR</v>
      </c>
      <c r="H110" s="34">
        <f>H52</f>
        <v>1</v>
      </c>
      <c r="I110" s="211">
        <f t="shared" si="18"/>
        <v>2</v>
      </c>
      <c r="J110" s="38"/>
      <c r="K110" s="211"/>
    </row>
    <row r="111" spans="1:11">
      <c r="A111" s="35"/>
      <c r="B111" s="36" t="s">
        <v>203</v>
      </c>
      <c r="C111" s="36" t="s">
        <v>20</v>
      </c>
      <c r="D111" s="37" t="s">
        <v>226</v>
      </c>
      <c r="E111" s="52">
        <f>20.79*12.9/1000</f>
        <v>0.26819099999999996</v>
      </c>
      <c r="F111" s="220">
        <f t="shared" si="17"/>
        <v>0.26819099999999996</v>
      </c>
      <c r="G111" s="96" t="str">
        <f>"von "&amp;A$45</f>
        <v>von Kalotte 7A.1 HR</v>
      </c>
      <c r="H111" s="34">
        <f>H53</f>
        <v>1</v>
      </c>
      <c r="I111" s="211">
        <f t="shared" si="18"/>
        <v>0.27</v>
      </c>
      <c r="J111" s="38"/>
      <c r="K111" s="211"/>
    </row>
    <row r="112" spans="1:11">
      <c r="A112" s="35"/>
      <c r="B112" s="39" t="s">
        <v>217</v>
      </c>
      <c r="C112" s="36" t="s">
        <v>14</v>
      </c>
      <c r="D112" s="37" t="s">
        <v>33</v>
      </c>
      <c r="E112" s="52">
        <f>4</f>
        <v>4</v>
      </c>
      <c r="F112" s="220">
        <f t="shared" si="17"/>
        <v>4</v>
      </c>
      <c r="G112" s="96" t="str">
        <f>"von "&amp;A75</f>
        <v>von Kalotte 7A.2 HR</v>
      </c>
      <c r="H112" s="34">
        <f>H83</f>
        <v>1</v>
      </c>
      <c r="I112" s="211">
        <f t="shared" si="18"/>
        <v>4</v>
      </c>
      <c r="J112" s="38"/>
      <c r="K112" s="211"/>
    </row>
    <row r="113" spans="1:11">
      <c r="A113" s="35"/>
      <c r="B113" s="39" t="s">
        <v>123</v>
      </c>
      <c r="C113" s="36" t="s">
        <v>42</v>
      </c>
      <c r="D113" s="37" t="s">
        <v>4</v>
      </c>
      <c r="E113" s="52">
        <f>(82.1-10.52)</f>
        <v>71.58</v>
      </c>
      <c r="F113" s="220">
        <f t="shared" si="17"/>
        <v>71.58</v>
      </c>
      <c r="G113" s="96" t="str">
        <f>"von "&amp;A$45</f>
        <v>von Kalotte 7A.1 HR</v>
      </c>
      <c r="H113" s="34">
        <f>H55</f>
        <v>1</v>
      </c>
      <c r="I113" s="211">
        <f t="shared" si="18"/>
        <v>71.58</v>
      </c>
      <c r="J113" s="38"/>
      <c r="K113" s="211"/>
    </row>
    <row r="114" spans="1:11">
      <c r="A114" s="35"/>
      <c r="B114" s="39" t="s">
        <v>204</v>
      </c>
      <c r="C114" s="36" t="s">
        <v>12</v>
      </c>
      <c r="D114" s="37" t="s">
        <v>226</v>
      </c>
      <c r="E114" s="52">
        <f>(82.1-10.52)*3.02/1000</f>
        <v>0.21617159999999999</v>
      </c>
      <c r="F114" s="220">
        <f t="shared" si="17"/>
        <v>0.21617159999999999</v>
      </c>
      <c r="G114" s="96" t="str">
        <f>"von "&amp;A$45</f>
        <v>von Kalotte 7A.1 HR</v>
      </c>
      <c r="H114" s="34">
        <f>H56</f>
        <v>1</v>
      </c>
      <c r="I114" s="211">
        <f t="shared" si="18"/>
        <v>0.22</v>
      </c>
      <c r="J114" s="38"/>
      <c r="K114" s="211"/>
    </row>
    <row r="115" spans="1:11">
      <c r="A115" s="35"/>
      <c r="B115" s="39" t="s">
        <v>214</v>
      </c>
      <c r="C115" s="36" t="s">
        <v>40</v>
      </c>
      <c r="D115" s="37" t="s">
        <v>5</v>
      </c>
      <c r="E115" s="52">
        <f>8/8*$A$105</f>
        <v>1</v>
      </c>
      <c r="F115" s="220">
        <f>E115/$A$105</f>
        <v>1</v>
      </c>
      <c r="G115" s="96" t="str">
        <f>"von "&amp;A$45</f>
        <v>von Kalotte 7A.1 HR</v>
      </c>
      <c r="H115" s="34">
        <f>H57</f>
        <v>1</v>
      </c>
      <c r="I115" s="211">
        <f t="shared" si="18"/>
        <v>1</v>
      </c>
      <c r="J115" s="38"/>
      <c r="K115" s="211"/>
    </row>
    <row r="116" spans="1:11">
      <c r="A116" s="35"/>
      <c r="B116" s="39" t="s">
        <v>215</v>
      </c>
      <c r="C116" s="36" t="s">
        <v>21</v>
      </c>
      <c r="D116" s="37" t="s">
        <v>3</v>
      </c>
      <c r="E116" s="52">
        <f>0.76</f>
        <v>0.76</v>
      </c>
      <c r="F116" s="220">
        <f t="shared" si="17"/>
        <v>0.76</v>
      </c>
      <c r="G116" s="96" t="str">
        <f>"von "&amp;A$45</f>
        <v>von Kalotte 7A.1 HR</v>
      </c>
      <c r="H116" s="34">
        <f>H58</f>
        <v>1</v>
      </c>
      <c r="I116" s="211">
        <f t="shared" si="18"/>
        <v>0.76</v>
      </c>
      <c r="J116" s="38"/>
      <c r="K116" s="211"/>
    </row>
    <row r="117" spans="1:11">
      <c r="A117" s="35"/>
      <c r="C117" s="36"/>
      <c r="D117" s="37" t="s">
        <v>249</v>
      </c>
      <c r="E117" s="117"/>
      <c r="F117" s="218">
        <v>1</v>
      </c>
      <c r="G117" s="240" t="s">
        <v>246</v>
      </c>
      <c r="H117" s="34"/>
      <c r="J117" s="38"/>
      <c r="K117" s="211"/>
    </row>
    <row r="118" spans="1:11">
      <c r="A118" s="35"/>
      <c r="B118" s="112" t="s">
        <v>94</v>
      </c>
      <c r="C118" s="36" t="s">
        <v>97</v>
      </c>
      <c r="D118" s="37" t="s">
        <v>33</v>
      </c>
      <c r="E118" s="117"/>
      <c r="F118" s="220">
        <f>F15</f>
        <v>1</v>
      </c>
      <c r="G118" s="240" t="s">
        <v>235</v>
      </c>
      <c r="H118" s="34">
        <f>$H$15</f>
        <v>1</v>
      </c>
      <c r="I118" s="211">
        <f>ROUND(H118/(F118*F117),2)</f>
        <v>1</v>
      </c>
      <c r="J118" s="38"/>
      <c r="K118" s="211"/>
    </row>
    <row r="119" spans="1:11">
      <c r="A119" s="35"/>
      <c r="B119" s="112" t="s">
        <v>96</v>
      </c>
      <c r="C119" s="36" t="s">
        <v>95</v>
      </c>
      <c r="D119" s="37" t="s">
        <v>33</v>
      </c>
      <c r="E119" s="117"/>
      <c r="F119" s="241">
        <f>F16</f>
        <v>1</v>
      </c>
      <c r="G119" s="240" t="s">
        <v>236</v>
      </c>
      <c r="H119" s="34">
        <f>$H$16</f>
        <v>1</v>
      </c>
      <c r="I119" s="211">
        <f>ROUND(H119/(F119*F117),2)</f>
        <v>1</v>
      </c>
      <c r="J119" s="38"/>
      <c r="K119" s="211"/>
    </row>
    <row r="120" spans="1:11">
      <c r="A120" s="6"/>
      <c r="B120" s="27"/>
      <c r="C120" s="24" t="s">
        <v>93</v>
      </c>
      <c r="D120" s="26"/>
      <c r="E120" s="55"/>
      <c r="F120" s="221"/>
      <c r="G120" s="98"/>
      <c r="H120" s="31"/>
      <c r="I120" s="210">
        <f>SUM(I104:I119)</f>
        <v>229.6</v>
      </c>
      <c r="J120" s="15">
        <v>110.2</v>
      </c>
      <c r="K120" s="210">
        <f>I120*J120</f>
        <v>25301.919999999998</v>
      </c>
    </row>
    <row r="121" spans="1:11" ht="7.15" customHeight="1">
      <c r="A121" s="7"/>
      <c r="B121" s="23"/>
      <c r="C121" s="24"/>
      <c r="D121" s="25"/>
      <c r="E121" s="55"/>
      <c r="F121" s="219"/>
      <c r="G121" s="97"/>
      <c r="H121" s="16"/>
      <c r="I121" s="213"/>
      <c r="J121" s="14"/>
      <c r="K121" s="213"/>
    </row>
    <row r="122" spans="1:11" ht="36">
      <c r="A122" s="43" t="s">
        <v>25</v>
      </c>
      <c r="B122" s="39" t="s">
        <v>223</v>
      </c>
      <c r="C122" s="85" t="s">
        <v>220</v>
      </c>
      <c r="D122" s="25" t="s">
        <v>3</v>
      </c>
      <c r="E122" s="55">
        <f>(10.52)*$A$123*0.6</f>
        <v>12.623999999999999</v>
      </c>
      <c r="F122" s="219">
        <f t="shared" ref="F122:F128" si="19">E122/$A$123</f>
        <v>6.3119999999999994</v>
      </c>
      <c r="G122" s="96"/>
      <c r="H122" s="88">
        <v>1</v>
      </c>
      <c r="I122" s="210">
        <f>ROUND(F122*H122,2)</f>
        <v>6.31</v>
      </c>
      <c r="J122" s="38"/>
      <c r="K122" s="211"/>
    </row>
    <row r="123" spans="1:11" ht="36">
      <c r="A123" s="118">
        <v>2</v>
      </c>
      <c r="B123" s="39" t="s">
        <v>222</v>
      </c>
      <c r="C123" s="85" t="s">
        <v>221</v>
      </c>
      <c r="D123" s="25" t="s">
        <v>3</v>
      </c>
      <c r="E123" s="55">
        <f>(10.52)*$A$123*0.4</f>
        <v>8.4160000000000004</v>
      </c>
      <c r="F123" s="219">
        <f t="shared" si="19"/>
        <v>4.2080000000000002</v>
      </c>
      <c r="G123" s="104"/>
      <c r="H123" s="93">
        <v>1</v>
      </c>
      <c r="I123" s="214">
        <f t="shared" ref="I123:I128" si="20">ROUND(F123*H123,2)</f>
        <v>4.21</v>
      </c>
      <c r="J123" s="38"/>
      <c r="K123" s="211"/>
    </row>
    <row r="124" spans="1:11">
      <c r="A124" s="35"/>
      <c r="B124" s="39" t="s">
        <v>216</v>
      </c>
      <c r="C124" s="36" t="s">
        <v>22</v>
      </c>
      <c r="D124" s="37" t="s">
        <v>4</v>
      </c>
      <c r="E124" s="52">
        <f>13.14*$A$123</f>
        <v>26.28</v>
      </c>
      <c r="F124" s="220">
        <f t="shared" si="19"/>
        <v>13.14</v>
      </c>
      <c r="G124" s="96" t="str">
        <f>"von "&amp;A64</f>
        <v>von Kalottensohle 7A.1 HR</v>
      </c>
      <c r="H124" s="34">
        <f>H65</f>
        <v>1</v>
      </c>
      <c r="I124" s="211">
        <f t="shared" si="20"/>
        <v>13.14</v>
      </c>
      <c r="J124" s="38"/>
      <c r="K124" s="211"/>
    </row>
    <row r="125" spans="1:11">
      <c r="A125" s="35"/>
      <c r="B125" s="39" t="s">
        <v>198</v>
      </c>
      <c r="C125" s="36" t="s">
        <v>83</v>
      </c>
      <c r="D125" s="37" t="s">
        <v>226</v>
      </c>
      <c r="E125" s="52">
        <f>13.14*$A$123*5.38/1000</f>
        <v>0.1413864</v>
      </c>
      <c r="F125" s="220">
        <f t="shared" si="19"/>
        <v>7.0693199999999998E-2</v>
      </c>
      <c r="G125" s="96" t="str">
        <f>"von "&amp;A64</f>
        <v>von Kalottensohle 7A.1 HR</v>
      </c>
      <c r="H125" s="34">
        <f>H108</f>
        <v>1</v>
      </c>
      <c r="I125" s="211">
        <f t="shared" si="20"/>
        <v>7.0000000000000007E-2</v>
      </c>
      <c r="J125" s="38"/>
      <c r="K125" s="211"/>
    </row>
    <row r="126" spans="1:11">
      <c r="A126" s="35"/>
      <c r="B126" s="39" t="s">
        <v>198</v>
      </c>
      <c r="C126" s="36" t="s">
        <v>84</v>
      </c>
      <c r="D126" s="37" t="s">
        <v>226</v>
      </c>
      <c r="E126" s="52">
        <f>13.14*$A$123*5.38/1000</f>
        <v>0.1413864</v>
      </c>
      <c r="F126" s="220">
        <f t="shared" si="19"/>
        <v>7.0693199999999998E-2</v>
      </c>
      <c r="G126" s="96" t="str">
        <f>"von "&amp;A64</f>
        <v>von Kalottensohle 7A.1 HR</v>
      </c>
      <c r="H126" s="34">
        <f>H96</f>
        <v>1</v>
      </c>
      <c r="I126" s="211">
        <f t="shared" si="20"/>
        <v>7.0000000000000007E-2</v>
      </c>
      <c r="J126" s="38"/>
      <c r="K126" s="211"/>
    </row>
    <row r="127" spans="1:11">
      <c r="A127" s="35"/>
      <c r="B127" s="39" t="s">
        <v>199</v>
      </c>
      <c r="C127" s="36" t="s">
        <v>90</v>
      </c>
      <c r="D127" s="37" t="s">
        <v>6</v>
      </c>
      <c r="E127" s="52">
        <f>2*A123</f>
        <v>4</v>
      </c>
      <c r="F127" s="220">
        <f>E127/$A$123</f>
        <v>2</v>
      </c>
      <c r="G127" s="96" t="str">
        <f>"von "&amp;A$34</f>
        <v>von Kalottensohle 6A.2 HR</v>
      </c>
      <c r="H127" s="10">
        <f>H97</f>
        <v>1</v>
      </c>
      <c r="I127" s="212">
        <f t="shared" si="20"/>
        <v>2</v>
      </c>
      <c r="J127" s="38"/>
      <c r="K127" s="211"/>
    </row>
    <row r="128" spans="1:11">
      <c r="A128" s="35"/>
      <c r="B128" s="39" t="s">
        <v>122</v>
      </c>
      <c r="C128" s="36" t="s">
        <v>10</v>
      </c>
      <c r="D128" s="37" t="s">
        <v>4</v>
      </c>
      <c r="E128" s="52">
        <f>(10.52)</f>
        <v>10.52</v>
      </c>
      <c r="F128" s="220">
        <f t="shared" si="19"/>
        <v>5.26</v>
      </c>
      <c r="G128" s="96" t="str">
        <f>"von "&amp;A$34</f>
        <v>von Kalottensohle 6A.2 HR</v>
      </c>
      <c r="H128" s="34">
        <f>H98</f>
        <v>1</v>
      </c>
      <c r="I128" s="211">
        <f t="shared" si="20"/>
        <v>5.26</v>
      </c>
      <c r="J128" s="38"/>
      <c r="K128" s="211"/>
    </row>
    <row r="129" spans="1:11">
      <c r="A129" s="35"/>
      <c r="B129" s="39"/>
      <c r="C129" s="36"/>
      <c r="D129" s="37" t="s">
        <v>249</v>
      </c>
      <c r="E129" s="117"/>
      <c r="F129" s="218">
        <v>1</v>
      </c>
      <c r="G129" s="240" t="s">
        <v>247</v>
      </c>
      <c r="H129" s="34"/>
      <c r="J129" s="38"/>
      <c r="K129" s="211"/>
    </row>
    <row r="130" spans="1:11">
      <c r="A130" s="35"/>
      <c r="B130" s="112" t="s">
        <v>94</v>
      </c>
      <c r="C130" s="36" t="s">
        <v>97</v>
      </c>
      <c r="D130" s="37" t="s">
        <v>33</v>
      </c>
      <c r="E130" s="117"/>
      <c r="F130" s="220">
        <f>F15</f>
        <v>1</v>
      </c>
      <c r="G130" s="240" t="s">
        <v>235</v>
      </c>
      <c r="H130" s="34">
        <f>$H$15</f>
        <v>1</v>
      </c>
      <c r="I130" s="211">
        <f>ROUND(H130/(F130*F129),2)</f>
        <v>1</v>
      </c>
      <c r="J130" s="38"/>
      <c r="K130" s="211"/>
    </row>
    <row r="131" spans="1:11">
      <c r="A131" s="35"/>
      <c r="B131" s="112" t="s">
        <v>96</v>
      </c>
      <c r="C131" s="36" t="s">
        <v>95</v>
      </c>
      <c r="D131" s="37" t="s">
        <v>33</v>
      </c>
      <c r="E131" s="117"/>
      <c r="F131" s="241">
        <f>F16</f>
        <v>1</v>
      </c>
      <c r="G131" s="240" t="s">
        <v>236</v>
      </c>
      <c r="H131" s="34">
        <f>$H$16</f>
        <v>1</v>
      </c>
      <c r="I131" s="211">
        <f>ROUND(H131/(F131*F129),2)</f>
        <v>1</v>
      </c>
      <c r="J131" s="38"/>
      <c r="K131" s="211"/>
    </row>
    <row r="132" spans="1:11">
      <c r="A132" s="7"/>
      <c r="B132" s="23"/>
      <c r="C132" s="24" t="s">
        <v>93</v>
      </c>
      <c r="D132" s="25"/>
      <c r="E132" s="55"/>
      <c r="F132" s="219"/>
      <c r="G132" s="97"/>
      <c r="H132" s="16"/>
      <c r="I132" s="213">
        <f>SUM(I122:I131)</f>
        <v>33.06</v>
      </c>
      <c r="J132" s="15">
        <v>110.2</v>
      </c>
      <c r="K132" s="213">
        <f>I132*J132</f>
        <v>3643.2120000000004</v>
      </c>
    </row>
    <row r="133" spans="1:11" ht="11.25" customHeight="1">
      <c r="A133" s="226"/>
      <c r="B133" s="227"/>
      <c r="C133" s="227"/>
      <c r="D133" s="28"/>
      <c r="E133" s="75"/>
      <c r="F133" s="222"/>
      <c r="G133" s="99"/>
      <c r="H133" s="19"/>
      <c r="I133" s="19"/>
      <c r="J133" s="19"/>
      <c r="K133" s="236"/>
    </row>
    <row r="134" spans="1:11" ht="34.5" customHeight="1">
      <c r="A134" s="228"/>
      <c r="B134" s="229"/>
      <c r="C134" s="229"/>
      <c r="D134" s="29"/>
      <c r="E134" s="76"/>
      <c r="F134" s="223"/>
      <c r="G134" s="260"/>
      <c r="H134" s="260"/>
      <c r="I134" s="260"/>
      <c r="J134" s="18"/>
      <c r="K134" s="237"/>
    </row>
    <row r="137" spans="1:11" ht="40.5" customHeight="1">
      <c r="A137" s="259"/>
      <c r="B137" s="259"/>
      <c r="C137" s="259"/>
      <c r="D137" s="259"/>
      <c r="E137" s="259"/>
      <c r="F137" s="259"/>
      <c r="G137" s="259"/>
      <c r="H137" s="259"/>
      <c r="I137" s="259"/>
      <c r="J137" s="259"/>
      <c r="K137" s="259"/>
    </row>
  </sheetData>
  <sheetProtection algorithmName="SHA-512" hashValue="nOdWHNtOjzOYtbZzuiPrXTCHpif7dylayqRgTcDf+7zS6/urElMMtpUzsZu5y+sF6LEPO10reSJp2fdCRtgi2g==" saltValue="ci0Of+N7+gtP8t1ltqq9NQ==" spinCount="100000" sheet="1" objects="1" scenarios="1" selectLockedCells="1"/>
  <mergeCells count="4">
    <mergeCell ref="A2:F2"/>
    <mergeCell ref="H2:K2"/>
    <mergeCell ref="A137:K137"/>
    <mergeCell ref="G134:I134"/>
  </mergeCells>
  <phoneticPr fontId="11" type="noConversion"/>
  <conditionalFormatting sqref="A4:K13 A14 C14:G14 I14:K14 A15:K28 A29 C29:G29 I29:K29 A30:K39 A40 C40:G40 I40:K40 A41:K58 A59 I59:K59 A60:K69 A70 C70:H70 J70:K70 A71:K87 A88 C88:H88 J88:K88 A89:K98 A99 C99:H99 J99:K99 A100:K116 A117 C117:H117 J117:K117 A118:K128 A129:H129 J129:K129 A130:K132">
    <cfRule type="expression" dxfId="49" priority="4">
      <formula>CELL("Schutz",A4)=0</formula>
    </cfRule>
  </conditionalFormatting>
  <conditionalFormatting sqref="C59:G59">
    <cfRule type="expression" dxfId="48" priority="1">
      <formula>CELL("Schutz",C59)=0</formula>
    </cfRule>
  </conditionalFormatting>
  <conditionalFormatting sqref="D3:F3">
    <cfRule type="expression" dxfId="47" priority="2">
      <formula>CELL("Schutz",D3)=0</formula>
    </cfRule>
  </conditionalFormatting>
  <dataValidations count="1">
    <dataValidation type="custom" errorStyle="warning" allowBlank="1" showInputMessage="1" showErrorMessage="1" error="Nur zwei Nachkommastellen zulässig!" sqref="H4:H13 H15:H28 H30:H39 H41:H58 H60:H116 H118:H132" xr:uid="{170CECB2-AFF9-43AF-AFB0-FAFE09170107}">
      <formula1>MOD(H4*(10^2),1)&lt;(10^-10)</formula1>
    </dataValidation>
  </dataValidations>
  <pageMargins left="0.70866141732283472" right="0.70866141732283472" top="0.78740157480314965" bottom="0.78740157480314965" header="0.31496062992125984" footer="0.31496062992125984"/>
  <pageSetup paperSize="9" scale="60" firstPageNumber="3" fitToHeight="0" orientation="landscape" useFirstPageNumber="1" r:id="rId1"/>
  <headerFooter scaleWithDoc="0">
    <oddHeader>&amp;L&amp;"Arial,Fett"&amp;10Bieterangaben Robustheit Tunnel Kauerndorf
Unterlage &amp;A&amp;R&amp;9.....................................................
Bieter</oddHeader>
    <oddFooter>&amp;R&amp;P von &amp;N</oddFooter>
    <firstFooter>&amp;R&amp;P</firstFooter>
  </headerFooter>
  <rowBreaks count="3" manualBreakCount="3">
    <brk id="43" max="11" man="1"/>
    <brk id="74" max="11" man="1"/>
    <brk id="12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0C32-02F8-44D7-928D-62DE63CF90B0}">
  <sheetPr>
    <tabColor theme="9"/>
    <pageSetUpPr fitToPage="1"/>
  </sheetPr>
  <dimension ref="A2:N114"/>
  <sheetViews>
    <sheetView showGridLines="0" view="pageBreakPreview" zoomScale="115" zoomScaleNormal="100" zoomScaleSheetLayoutView="115" workbookViewId="0">
      <pane xSplit="1" ySplit="3" topLeftCell="B89" activePane="bottomRight" state="frozen"/>
      <selection activeCell="A13" sqref="A13:F13"/>
      <selection pane="topRight" activeCell="A13" sqref="A13:F13"/>
      <selection pane="bottomLeft" activeCell="A13" sqref="A13:F13"/>
      <selection pane="bottomRight" activeCell="F90" sqref="F90"/>
    </sheetView>
  </sheetViews>
  <sheetFormatPr baseColWidth="10" defaultColWidth="11.25" defaultRowHeight="14.25"/>
  <cols>
    <col min="1" max="1" width="17.625" customWidth="1"/>
    <col min="2" max="2" width="8.5" style="30" customWidth="1"/>
    <col min="3" max="3" width="50.5" style="30" customWidth="1"/>
    <col min="4" max="4" width="7.75" style="30" customWidth="1"/>
    <col min="5" max="5" width="9.125" style="56" customWidth="1"/>
    <col min="6" max="6" width="9" style="225" customWidth="1"/>
    <col min="7" max="7" width="39.125" style="100" customWidth="1"/>
    <col min="8" max="8" width="19.625" style="17" customWidth="1"/>
    <col min="9" max="9" width="12.625" style="17" customWidth="1"/>
    <col min="10" max="10" width="11.75" style="17" customWidth="1"/>
    <col min="11" max="11" width="12.375" style="238" customWidth="1"/>
    <col min="12" max="12" width="2" customWidth="1"/>
  </cols>
  <sheetData>
    <row r="2" spans="1:11">
      <c r="A2" s="253" t="s">
        <v>15</v>
      </c>
      <c r="B2" s="254"/>
      <c r="C2" s="254"/>
      <c r="D2" s="254"/>
      <c r="E2" s="254"/>
      <c r="F2" s="255"/>
      <c r="G2" s="101"/>
      <c r="H2" s="256" t="s">
        <v>0</v>
      </c>
      <c r="I2" s="257"/>
      <c r="J2" s="257"/>
      <c r="K2" s="258"/>
    </row>
    <row r="3" spans="1:11" ht="57">
      <c r="A3" s="5" t="s">
        <v>32</v>
      </c>
      <c r="B3" s="20" t="s">
        <v>1</v>
      </c>
      <c r="C3" s="20" t="s">
        <v>7</v>
      </c>
      <c r="D3" s="20" t="s">
        <v>2</v>
      </c>
      <c r="E3" s="50" t="s">
        <v>30</v>
      </c>
      <c r="F3" s="215" t="s">
        <v>82</v>
      </c>
      <c r="G3" s="45" t="s">
        <v>73</v>
      </c>
      <c r="H3" s="11" t="s">
        <v>92</v>
      </c>
      <c r="I3" s="11" t="s">
        <v>234</v>
      </c>
      <c r="J3" s="11" t="s">
        <v>13</v>
      </c>
      <c r="K3" s="111" t="s">
        <v>101</v>
      </c>
    </row>
    <row r="4" spans="1:11" ht="24">
      <c r="A4" s="4" t="s">
        <v>55</v>
      </c>
      <c r="B4" s="21" t="s">
        <v>115</v>
      </c>
      <c r="C4" s="85" t="s">
        <v>68</v>
      </c>
      <c r="D4" s="44" t="s">
        <v>3</v>
      </c>
      <c r="E4" s="51">
        <f>45.34*$A$5</f>
        <v>154.15600000000001</v>
      </c>
      <c r="F4" s="216">
        <f t="shared" ref="F4:F10" si="0">E4/$A$5</f>
        <v>45.34</v>
      </c>
      <c r="G4" s="95"/>
      <c r="H4" s="87">
        <v>1</v>
      </c>
      <c r="I4" s="210">
        <f>ROUND(F4*H4,2)</f>
        <v>45.34</v>
      </c>
      <c r="J4" s="33"/>
      <c r="K4" s="211"/>
    </row>
    <row r="5" spans="1:11">
      <c r="A5" s="116">
        <v>3.4</v>
      </c>
      <c r="B5" s="36" t="s">
        <v>119</v>
      </c>
      <c r="C5" s="36" t="s">
        <v>34</v>
      </c>
      <c r="D5" s="37" t="s">
        <v>4</v>
      </c>
      <c r="E5" s="52">
        <f>16.69*$A$5</f>
        <v>56.746000000000002</v>
      </c>
      <c r="F5" s="217">
        <f t="shared" si="0"/>
        <v>16.690000000000001</v>
      </c>
      <c r="G5" s="96" t="s">
        <v>74</v>
      </c>
      <c r="H5" s="88">
        <v>1</v>
      </c>
      <c r="I5" s="211">
        <f t="shared" ref="I5:I10" si="1">ROUND(F5*H5,2)</f>
        <v>16.690000000000001</v>
      </c>
      <c r="J5" s="38"/>
      <c r="K5" s="211"/>
    </row>
    <row r="6" spans="1:11">
      <c r="A6" s="35"/>
      <c r="B6" s="39" t="s">
        <v>198</v>
      </c>
      <c r="C6" s="36" t="s">
        <v>51</v>
      </c>
      <c r="D6" s="37" t="s">
        <v>226</v>
      </c>
      <c r="E6" s="52">
        <f>16.69*$A$5*4.12/1000</f>
        <v>0.23379352000000003</v>
      </c>
      <c r="F6" s="217">
        <f t="shared" si="0"/>
        <v>6.8762800000000013E-2</v>
      </c>
      <c r="G6" s="96" t="s">
        <v>74</v>
      </c>
      <c r="H6" s="88">
        <v>1</v>
      </c>
      <c r="I6" s="211">
        <f t="shared" si="1"/>
        <v>7.0000000000000007E-2</v>
      </c>
      <c r="J6" s="38"/>
      <c r="K6" s="211"/>
    </row>
    <row r="7" spans="1:11">
      <c r="A7" s="35"/>
      <c r="B7" s="39" t="s">
        <v>198</v>
      </c>
      <c r="C7" s="36" t="s">
        <v>66</v>
      </c>
      <c r="D7" s="37" t="s">
        <v>226</v>
      </c>
      <c r="E7" s="52">
        <f>16.69*$A$5*4.12/1000</f>
        <v>0.23379352000000003</v>
      </c>
      <c r="F7" s="217">
        <f t="shared" si="0"/>
        <v>6.8762800000000013E-2</v>
      </c>
      <c r="G7" s="96" t="s">
        <v>74</v>
      </c>
      <c r="H7" s="34">
        <f>H6</f>
        <v>1</v>
      </c>
      <c r="I7" s="211">
        <f t="shared" si="1"/>
        <v>7.0000000000000007E-2</v>
      </c>
      <c r="J7" s="38"/>
      <c r="K7" s="211"/>
    </row>
    <row r="8" spans="1:11">
      <c r="A8" s="35"/>
      <c r="B8" s="36" t="s">
        <v>224</v>
      </c>
      <c r="C8" s="36" t="s">
        <v>16</v>
      </c>
      <c r="D8" s="37" t="s">
        <v>226</v>
      </c>
      <c r="E8" s="52">
        <f>4.86*12.7/1000</f>
        <v>6.1721999999999999E-2</v>
      </c>
      <c r="F8" s="217">
        <f t="shared" si="0"/>
        <v>1.8153529411764707E-2</v>
      </c>
      <c r="G8" s="96" t="s">
        <v>74</v>
      </c>
      <c r="H8" s="88">
        <v>1</v>
      </c>
      <c r="I8" s="211">
        <f t="shared" si="1"/>
        <v>0.02</v>
      </c>
      <c r="J8" s="38"/>
      <c r="K8" s="211"/>
    </row>
    <row r="9" spans="1:11">
      <c r="A9" s="35"/>
      <c r="B9" s="39" t="s">
        <v>201</v>
      </c>
      <c r="C9" s="36" t="s">
        <v>9</v>
      </c>
      <c r="D9" s="37" t="s">
        <v>33</v>
      </c>
      <c r="E9" s="52">
        <f>6</f>
        <v>6</v>
      </c>
      <c r="F9" s="217">
        <f t="shared" si="0"/>
        <v>1.7647058823529411</v>
      </c>
      <c r="G9" s="96" t="s">
        <v>74</v>
      </c>
      <c r="H9" s="88">
        <v>1</v>
      </c>
      <c r="I9" s="211">
        <f t="shared" si="1"/>
        <v>1.76</v>
      </c>
      <c r="J9" s="38"/>
      <c r="K9" s="211"/>
    </row>
    <row r="10" spans="1:11">
      <c r="A10" s="35"/>
      <c r="B10" s="36" t="s">
        <v>122</v>
      </c>
      <c r="C10" s="36" t="s">
        <v>10</v>
      </c>
      <c r="D10" s="37" t="s">
        <v>4</v>
      </c>
      <c r="E10" s="52">
        <f>45.34</f>
        <v>45.34</v>
      </c>
      <c r="F10" s="217">
        <f t="shared" si="0"/>
        <v>13.335294117647059</v>
      </c>
      <c r="G10" s="96" t="s">
        <v>74</v>
      </c>
      <c r="H10" s="88">
        <v>1</v>
      </c>
      <c r="I10" s="211">
        <f t="shared" si="1"/>
        <v>13.34</v>
      </c>
      <c r="J10" s="38"/>
      <c r="K10" s="211"/>
    </row>
    <row r="11" spans="1:11">
      <c r="A11" s="35"/>
      <c r="B11" s="36"/>
      <c r="D11" s="37" t="s">
        <v>249</v>
      </c>
      <c r="E11" s="117"/>
      <c r="F11" s="218">
        <v>1</v>
      </c>
      <c r="G11" s="240" t="s">
        <v>248</v>
      </c>
      <c r="I11" s="211"/>
      <c r="J11" s="38"/>
      <c r="K11" s="211"/>
    </row>
    <row r="12" spans="1:11">
      <c r="A12" s="35"/>
      <c r="B12" s="112" t="s">
        <v>94</v>
      </c>
      <c r="C12" s="36" t="s">
        <v>97</v>
      </c>
      <c r="D12" s="37" t="s">
        <v>33</v>
      </c>
      <c r="E12" s="117"/>
      <c r="F12" s="241">
        <f>'1.3-12 Kalotte HR Kosten'!F15</f>
        <v>1</v>
      </c>
      <c r="G12" s="240" t="s">
        <v>235</v>
      </c>
      <c r="H12" s="34">
        <f>'1.3-12 Kalotte HR Kosten'!H15</f>
        <v>1</v>
      </c>
      <c r="I12" s="211">
        <f>ROUND(H12/(F12*F11),2)</f>
        <v>1</v>
      </c>
      <c r="J12" s="38"/>
      <c r="K12" s="211"/>
    </row>
    <row r="13" spans="1:11">
      <c r="A13" s="35"/>
      <c r="B13" s="112" t="s">
        <v>96</v>
      </c>
      <c r="C13" s="36" t="s">
        <v>95</v>
      </c>
      <c r="D13" s="37" t="s">
        <v>33</v>
      </c>
      <c r="E13" s="117"/>
      <c r="F13" s="218">
        <v>1</v>
      </c>
      <c r="G13" s="240" t="s">
        <v>250</v>
      </c>
      <c r="H13" s="88">
        <v>1</v>
      </c>
      <c r="I13" s="211">
        <f>ROUND(H13/(F13*F11),2)</f>
        <v>1</v>
      </c>
      <c r="J13" s="38"/>
      <c r="K13" s="211"/>
    </row>
    <row r="14" spans="1:11">
      <c r="A14" s="7"/>
      <c r="B14" s="23"/>
      <c r="C14" s="24" t="s">
        <v>93</v>
      </c>
      <c r="D14" s="25"/>
      <c r="E14" s="53"/>
      <c r="F14" s="219"/>
      <c r="G14" s="97"/>
      <c r="H14" s="16"/>
      <c r="I14" s="213">
        <f>SUM(I4:I13)</f>
        <v>79.290000000000006</v>
      </c>
      <c r="J14" s="14">
        <v>89</v>
      </c>
      <c r="K14" s="213">
        <f>I14*J14</f>
        <v>7056.81</v>
      </c>
    </row>
    <row r="15" spans="1:11" ht="6.75" customHeight="1">
      <c r="A15" s="7"/>
      <c r="B15" s="23"/>
      <c r="C15" s="24"/>
      <c r="D15" s="25"/>
      <c r="E15" s="53"/>
      <c r="F15" s="219"/>
      <c r="G15" s="97"/>
      <c r="H15" s="16"/>
      <c r="I15" s="213"/>
      <c r="J15" s="14"/>
      <c r="K15" s="213"/>
    </row>
    <row r="16" spans="1:11" ht="24">
      <c r="A16" s="4" t="s">
        <v>45</v>
      </c>
      <c r="B16" s="21" t="s">
        <v>116</v>
      </c>
      <c r="C16" s="85" t="s">
        <v>35</v>
      </c>
      <c r="D16" s="44" t="s">
        <v>3</v>
      </c>
      <c r="E16" s="51">
        <f>45.34*$A$17</f>
        <v>117.88400000000001</v>
      </c>
      <c r="F16" s="216">
        <f t="shared" ref="F16:F22" si="2">E16/$A$17</f>
        <v>45.34</v>
      </c>
      <c r="G16" s="95"/>
      <c r="H16" s="90">
        <v>1</v>
      </c>
      <c r="I16" s="210">
        <f t="shared" ref="I16:I22" si="3">ROUND(F16*H16,2)</f>
        <v>45.34</v>
      </c>
      <c r="J16" s="38"/>
      <c r="K16" s="211"/>
    </row>
    <row r="17" spans="1:14">
      <c r="A17" s="115">
        <v>2.6</v>
      </c>
      <c r="B17" s="36" t="s">
        <v>119</v>
      </c>
      <c r="C17" s="36" t="s">
        <v>34</v>
      </c>
      <c r="D17" s="37" t="s">
        <v>4</v>
      </c>
      <c r="E17" s="52">
        <f>16.69*$A$17</f>
        <v>43.394000000000005</v>
      </c>
      <c r="F17" s="220">
        <f t="shared" si="2"/>
        <v>16.690000000000001</v>
      </c>
      <c r="G17" s="96" t="str">
        <f>A$4</f>
        <v>Strosse/Sohle 6A.1 HR
(ohne KSG)</v>
      </c>
      <c r="H17" s="34">
        <f t="shared" ref="H17:H22" si="4">H5</f>
        <v>1</v>
      </c>
      <c r="I17" s="211">
        <f t="shared" si="3"/>
        <v>16.690000000000001</v>
      </c>
      <c r="J17" s="38"/>
      <c r="K17" s="211"/>
    </row>
    <row r="18" spans="1:14">
      <c r="A18" s="35"/>
      <c r="B18" s="39" t="s">
        <v>198</v>
      </c>
      <c r="C18" s="36" t="s">
        <v>51</v>
      </c>
      <c r="D18" s="37" t="s">
        <v>226</v>
      </c>
      <c r="E18" s="52">
        <f>16.69*$A$17*4.12/1000</f>
        <v>0.17878328000000002</v>
      </c>
      <c r="F18" s="220">
        <f t="shared" si="2"/>
        <v>6.8762799999999999E-2</v>
      </c>
      <c r="G18" s="96" t="str">
        <f t="shared" ref="G18:G22" si="5">A$4</f>
        <v>Strosse/Sohle 6A.1 HR
(ohne KSG)</v>
      </c>
      <c r="H18" s="34">
        <f t="shared" si="4"/>
        <v>1</v>
      </c>
      <c r="I18" s="211">
        <f t="shared" si="3"/>
        <v>7.0000000000000007E-2</v>
      </c>
      <c r="J18" s="38"/>
      <c r="K18" s="211"/>
    </row>
    <row r="19" spans="1:14">
      <c r="A19" s="35"/>
      <c r="B19" s="39" t="s">
        <v>198</v>
      </c>
      <c r="C19" s="36" t="s">
        <v>66</v>
      </c>
      <c r="D19" s="37" t="s">
        <v>226</v>
      </c>
      <c r="E19" s="52">
        <f>16.69*$A$17*4.12/1000</f>
        <v>0.17878328000000002</v>
      </c>
      <c r="F19" s="220">
        <f t="shared" si="2"/>
        <v>6.8762799999999999E-2</v>
      </c>
      <c r="G19" s="96" t="str">
        <f t="shared" si="5"/>
        <v>Strosse/Sohle 6A.1 HR
(ohne KSG)</v>
      </c>
      <c r="H19" s="34">
        <f t="shared" si="4"/>
        <v>1</v>
      </c>
      <c r="I19" s="211">
        <f t="shared" si="3"/>
        <v>7.0000000000000007E-2</v>
      </c>
      <c r="J19" s="38"/>
      <c r="K19" s="211"/>
    </row>
    <row r="20" spans="1:14">
      <c r="A20" s="32"/>
      <c r="B20" s="36" t="s">
        <v>224</v>
      </c>
      <c r="C20" s="36" t="s">
        <v>16</v>
      </c>
      <c r="D20" s="37" t="s">
        <v>6</v>
      </c>
      <c r="E20" s="52">
        <f>4.86*12.7/1000</f>
        <v>6.1721999999999999E-2</v>
      </c>
      <c r="F20" s="220">
        <f t="shared" si="2"/>
        <v>2.3739230769230769E-2</v>
      </c>
      <c r="G20" s="96" t="str">
        <f t="shared" si="5"/>
        <v>Strosse/Sohle 6A.1 HR
(ohne KSG)</v>
      </c>
      <c r="H20" s="34">
        <f t="shared" si="4"/>
        <v>1</v>
      </c>
      <c r="I20" s="211">
        <f t="shared" si="3"/>
        <v>0.02</v>
      </c>
      <c r="J20" s="38"/>
      <c r="K20" s="211"/>
    </row>
    <row r="21" spans="1:14">
      <c r="A21" s="35"/>
      <c r="B21" s="39" t="s">
        <v>201</v>
      </c>
      <c r="C21" s="36" t="s">
        <v>9</v>
      </c>
      <c r="D21" s="37" t="s">
        <v>33</v>
      </c>
      <c r="E21" s="52">
        <f>6</f>
        <v>6</v>
      </c>
      <c r="F21" s="220">
        <f t="shared" si="2"/>
        <v>2.3076923076923075</v>
      </c>
      <c r="G21" s="96" t="str">
        <f t="shared" si="5"/>
        <v>Strosse/Sohle 6A.1 HR
(ohne KSG)</v>
      </c>
      <c r="H21" s="34">
        <f t="shared" si="4"/>
        <v>1</v>
      </c>
      <c r="I21" s="211">
        <f t="shared" si="3"/>
        <v>2.31</v>
      </c>
      <c r="J21" s="38"/>
      <c r="K21" s="211"/>
    </row>
    <row r="22" spans="1:14">
      <c r="A22" s="35"/>
      <c r="B22" s="36" t="s">
        <v>122</v>
      </c>
      <c r="C22" s="36" t="s">
        <v>10</v>
      </c>
      <c r="D22" s="37" t="s">
        <v>4</v>
      </c>
      <c r="E22" s="52">
        <f>45.34</f>
        <v>45.34</v>
      </c>
      <c r="F22" s="220">
        <f t="shared" si="2"/>
        <v>17.438461538461539</v>
      </c>
      <c r="G22" s="96" t="str">
        <f t="shared" si="5"/>
        <v>Strosse/Sohle 6A.1 HR
(ohne KSG)</v>
      </c>
      <c r="H22" s="34">
        <f t="shared" si="4"/>
        <v>1</v>
      </c>
      <c r="I22" s="211">
        <f t="shared" si="3"/>
        <v>17.440000000000001</v>
      </c>
      <c r="J22" s="38"/>
      <c r="K22" s="211"/>
    </row>
    <row r="23" spans="1:14">
      <c r="A23" s="35"/>
      <c r="B23" s="36"/>
      <c r="C23" s="36"/>
      <c r="D23" s="37" t="s">
        <v>249</v>
      </c>
      <c r="E23" s="52"/>
      <c r="F23" s="218">
        <v>1</v>
      </c>
      <c r="G23" s="240" t="s">
        <v>251</v>
      </c>
      <c r="H23" s="34"/>
      <c r="I23" s="211"/>
      <c r="J23" s="38"/>
      <c r="K23" s="211"/>
    </row>
    <row r="24" spans="1:14">
      <c r="A24" s="35"/>
      <c r="B24" s="112" t="s">
        <v>94</v>
      </c>
      <c r="C24" s="36" t="s">
        <v>97</v>
      </c>
      <c r="D24" s="37" t="s">
        <v>33</v>
      </c>
      <c r="E24" s="117"/>
      <c r="F24" s="241">
        <f>F12</f>
        <v>1</v>
      </c>
      <c r="G24" s="240" t="s">
        <v>235</v>
      </c>
      <c r="H24" s="34">
        <f>$H$12</f>
        <v>1</v>
      </c>
      <c r="I24" s="211">
        <f>ROUND(H24/(F24*F23),2)</f>
        <v>1</v>
      </c>
      <c r="J24" s="38"/>
      <c r="K24" s="211"/>
    </row>
    <row r="25" spans="1:14">
      <c r="A25" s="35"/>
      <c r="B25" s="112" t="s">
        <v>96</v>
      </c>
      <c r="C25" s="36" t="s">
        <v>95</v>
      </c>
      <c r="D25" s="37" t="s">
        <v>33</v>
      </c>
      <c r="E25" s="117"/>
      <c r="F25" s="241">
        <f>F13</f>
        <v>1</v>
      </c>
      <c r="G25" s="240" t="s">
        <v>250</v>
      </c>
      <c r="H25" s="34">
        <f>$H$13</f>
        <v>1</v>
      </c>
      <c r="I25" s="211">
        <f>ROUND(H25/(F25*F23),2)</f>
        <v>1</v>
      </c>
      <c r="J25" s="38"/>
      <c r="K25" s="211"/>
    </row>
    <row r="26" spans="1:14">
      <c r="A26" s="7"/>
      <c r="B26" s="23"/>
      <c r="C26" s="24" t="s">
        <v>93</v>
      </c>
      <c r="D26" s="25"/>
      <c r="E26" s="53"/>
      <c r="F26" s="219"/>
      <c r="G26" s="97"/>
      <c r="H26" s="16"/>
      <c r="I26" s="213">
        <f>SUM(I16:I25)</f>
        <v>83.94</v>
      </c>
      <c r="J26" s="14">
        <v>188.5</v>
      </c>
      <c r="K26" s="213">
        <f>I26*J26</f>
        <v>15822.689999999999</v>
      </c>
    </row>
    <row r="27" spans="1:14" ht="6.75" customHeight="1">
      <c r="A27" s="7"/>
      <c r="B27" s="23"/>
      <c r="C27" s="24"/>
      <c r="D27" s="25"/>
      <c r="E27" s="53"/>
      <c r="F27" s="219"/>
      <c r="G27" s="97"/>
      <c r="H27" s="16"/>
      <c r="I27" s="213"/>
      <c r="J27" s="14"/>
      <c r="K27" s="213"/>
    </row>
    <row r="28" spans="1:14" s="59" customFormat="1" ht="24">
      <c r="A28" s="58" t="s">
        <v>50</v>
      </c>
      <c r="B28" s="21" t="s">
        <v>108</v>
      </c>
      <c r="C28" s="85" t="s">
        <v>35</v>
      </c>
      <c r="D28" s="44" t="s">
        <v>3</v>
      </c>
      <c r="E28" s="51">
        <f>35.46*$A$29</f>
        <v>92.196000000000012</v>
      </c>
      <c r="F28" s="219">
        <f t="shared" ref="F28:F35" si="6">E28/$A$29</f>
        <v>35.46</v>
      </c>
      <c r="G28" s="98"/>
      <c r="H28" s="90">
        <v>1</v>
      </c>
      <c r="I28" s="210">
        <f t="shared" ref="I28:I35" si="7">ROUND(F28*H28,2)</f>
        <v>35.46</v>
      </c>
      <c r="J28" s="70"/>
      <c r="K28" s="96"/>
      <c r="N28"/>
    </row>
    <row r="29" spans="1:14">
      <c r="A29" s="115">
        <v>2.6</v>
      </c>
      <c r="B29" s="39" t="s">
        <v>216</v>
      </c>
      <c r="C29" s="36" t="s">
        <v>70</v>
      </c>
      <c r="D29" s="37" t="s">
        <v>4</v>
      </c>
      <c r="E29" s="52">
        <f>12.21*$A$29</f>
        <v>31.746000000000002</v>
      </c>
      <c r="F29" s="220">
        <f t="shared" si="6"/>
        <v>12.21</v>
      </c>
      <c r="G29" s="96"/>
      <c r="H29" s="89">
        <v>1</v>
      </c>
      <c r="I29" s="211">
        <f t="shared" si="7"/>
        <v>12.21</v>
      </c>
      <c r="J29" s="70"/>
      <c r="K29" s="96"/>
    </row>
    <row r="30" spans="1:14" s="59" customFormat="1">
      <c r="A30" s="61"/>
      <c r="B30" s="36" t="s">
        <v>119</v>
      </c>
      <c r="C30" s="36" t="s">
        <v>34</v>
      </c>
      <c r="D30" s="37" t="s">
        <v>4</v>
      </c>
      <c r="E30" s="52">
        <f>16.69*$A$29</f>
        <v>43.394000000000005</v>
      </c>
      <c r="F30" s="220">
        <f t="shared" si="6"/>
        <v>16.690000000000001</v>
      </c>
      <c r="G30" s="96" t="str">
        <f>A$4</f>
        <v>Strosse/Sohle 6A.1 HR
(ohne KSG)</v>
      </c>
      <c r="H30" s="46">
        <f>H5</f>
        <v>1</v>
      </c>
      <c r="I30" s="211">
        <f t="shared" si="7"/>
        <v>16.690000000000001</v>
      </c>
      <c r="J30" s="70"/>
      <c r="K30" s="96"/>
      <c r="N30"/>
    </row>
    <row r="31" spans="1:14" s="59" customFormat="1">
      <c r="A31" s="60"/>
      <c r="B31" s="39" t="s">
        <v>198</v>
      </c>
      <c r="C31" s="36" t="s">
        <v>51</v>
      </c>
      <c r="D31" s="37" t="s">
        <v>226</v>
      </c>
      <c r="E31" s="52">
        <f>16.69*$A$29*4.12/1000</f>
        <v>0.17878328000000002</v>
      </c>
      <c r="F31" s="220">
        <f t="shared" si="6"/>
        <v>6.8762799999999999E-2</v>
      </c>
      <c r="G31" s="96" t="str">
        <f t="shared" ref="G31:G35" si="8">A$4</f>
        <v>Strosse/Sohle 6A.1 HR
(ohne KSG)</v>
      </c>
      <c r="H31" s="46">
        <f>H6</f>
        <v>1</v>
      </c>
      <c r="I31" s="211">
        <f t="shared" si="7"/>
        <v>7.0000000000000007E-2</v>
      </c>
      <c r="J31" s="70"/>
      <c r="K31" s="96"/>
      <c r="N31"/>
    </row>
    <row r="32" spans="1:14" s="59" customFormat="1">
      <c r="A32" s="60"/>
      <c r="B32" s="39" t="s">
        <v>198</v>
      </c>
      <c r="C32" s="36" t="s">
        <v>66</v>
      </c>
      <c r="D32" s="37" t="s">
        <v>226</v>
      </c>
      <c r="E32" s="52">
        <f>16.69*$A$29*4.12/1000</f>
        <v>0.17878328000000002</v>
      </c>
      <c r="F32" s="220">
        <f t="shared" si="6"/>
        <v>6.8762799999999999E-2</v>
      </c>
      <c r="G32" s="96" t="str">
        <f t="shared" si="8"/>
        <v>Strosse/Sohle 6A.1 HR
(ohne KSG)</v>
      </c>
      <c r="H32" s="46">
        <f>H6</f>
        <v>1</v>
      </c>
      <c r="I32" s="211">
        <f t="shared" si="7"/>
        <v>7.0000000000000007E-2</v>
      </c>
      <c r="J32" s="70"/>
      <c r="K32" s="96"/>
      <c r="N32"/>
    </row>
    <row r="33" spans="1:14" s="59" customFormat="1">
      <c r="A33" s="61"/>
      <c r="B33" s="36" t="s">
        <v>224</v>
      </c>
      <c r="C33" s="36" t="s">
        <v>16</v>
      </c>
      <c r="D33" s="37" t="s">
        <v>226</v>
      </c>
      <c r="E33" s="52">
        <f>4.86*12.7/1000</f>
        <v>6.1721999999999999E-2</v>
      </c>
      <c r="F33" s="220">
        <f t="shared" si="6"/>
        <v>2.3739230769230769E-2</v>
      </c>
      <c r="G33" s="96" t="str">
        <f t="shared" si="8"/>
        <v>Strosse/Sohle 6A.1 HR
(ohne KSG)</v>
      </c>
      <c r="H33" s="46">
        <f>H8</f>
        <v>1</v>
      </c>
      <c r="I33" s="211">
        <f t="shared" si="7"/>
        <v>0.02</v>
      </c>
      <c r="J33" s="70"/>
      <c r="K33" s="96"/>
      <c r="N33"/>
    </row>
    <row r="34" spans="1:14" s="59" customFormat="1">
      <c r="A34" s="60"/>
      <c r="B34" s="39" t="s">
        <v>201</v>
      </c>
      <c r="C34" s="36" t="s">
        <v>9</v>
      </c>
      <c r="D34" s="37" t="s">
        <v>33</v>
      </c>
      <c r="E34" s="52">
        <f>6</f>
        <v>6</v>
      </c>
      <c r="F34" s="220">
        <f t="shared" si="6"/>
        <v>2.3076923076923075</v>
      </c>
      <c r="G34" s="96" t="str">
        <f t="shared" si="8"/>
        <v>Strosse/Sohle 6A.1 HR
(ohne KSG)</v>
      </c>
      <c r="H34" s="46">
        <f>H9</f>
        <v>1</v>
      </c>
      <c r="I34" s="211">
        <f t="shared" si="7"/>
        <v>2.31</v>
      </c>
      <c r="J34" s="70"/>
      <c r="K34" s="96"/>
      <c r="N34"/>
    </row>
    <row r="35" spans="1:14" s="59" customFormat="1">
      <c r="A35" s="60"/>
      <c r="B35" s="36" t="s">
        <v>122</v>
      </c>
      <c r="C35" s="36" t="s">
        <v>10</v>
      </c>
      <c r="D35" s="37" t="s">
        <v>4</v>
      </c>
      <c r="E35" s="102">
        <f>35.46</f>
        <v>35.46</v>
      </c>
      <c r="F35" s="220">
        <f t="shared" si="6"/>
        <v>13.638461538461538</v>
      </c>
      <c r="G35" s="96" t="str">
        <f t="shared" si="8"/>
        <v>Strosse/Sohle 6A.1 HR
(ohne KSG)</v>
      </c>
      <c r="H35" s="46">
        <f>H10</f>
        <v>1</v>
      </c>
      <c r="I35" s="211">
        <f t="shared" si="7"/>
        <v>13.64</v>
      </c>
      <c r="J35" s="70"/>
      <c r="K35" s="96"/>
      <c r="N35"/>
    </row>
    <row r="36" spans="1:14" s="59" customFormat="1">
      <c r="A36" s="60"/>
      <c r="B36" s="36"/>
      <c r="C36" s="36"/>
      <c r="D36" s="37" t="s">
        <v>249</v>
      </c>
      <c r="E36" s="102"/>
      <c r="F36" s="218">
        <v>1</v>
      </c>
      <c r="G36" s="240" t="s">
        <v>252</v>
      </c>
      <c r="H36" s="46"/>
      <c r="I36" s="211"/>
      <c r="J36" s="70"/>
      <c r="K36" s="96"/>
      <c r="N36"/>
    </row>
    <row r="37" spans="1:14">
      <c r="A37" s="35"/>
      <c r="B37" s="112" t="s">
        <v>94</v>
      </c>
      <c r="C37" s="36" t="s">
        <v>97</v>
      </c>
      <c r="D37" s="37" t="s">
        <v>33</v>
      </c>
      <c r="E37" s="117"/>
      <c r="F37" s="241">
        <f>F12</f>
        <v>1</v>
      </c>
      <c r="G37" s="240" t="s">
        <v>235</v>
      </c>
      <c r="H37" s="34">
        <f>$H$12</f>
        <v>1</v>
      </c>
      <c r="I37" s="211">
        <f>ROUND(H37/(F37*F36),2)</f>
        <v>1</v>
      </c>
      <c r="J37" s="38"/>
      <c r="K37" s="211"/>
    </row>
    <row r="38" spans="1:14">
      <c r="A38" s="35"/>
      <c r="B38" s="112" t="s">
        <v>96</v>
      </c>
      <c r="C38" s="36" t="s">
        <v>95</v>
      </c>
      <c r="D38" s="37" t="s">
        <v>33</v>
      </c>
      <c r="E38" s="117"/>
      <c r="F38" s="241">
        <f>F13</f>
        <v>1</v>
      </c>
      <c r="G38" s="240" t="s">
        <v>250</v>
      </c>
      <c r="H38" s="34">
        <f>$H$13</f>
        <v>1</v>
      </c>
      <c r="I38" s="211">
        <f>ROUND(H38/(F38*F36),2)</f>
        <v>1</v>
      </c>
      <c r="J38" s="38"/>
      <c r="K38" s="211"/>
    </row>
    <row r="39" spans="1:14" s="59" customFormat="1">
      <c r="A39" s="62"/>
      <c r="B39" s="62"/>
      <c r="C39" s="24" t="s">
        <v>93</v>
      </c>
      <c r="D39" s="25"/>
      <c r="E39" s="71"/>
      <c r="F39" s="219"/>
      <c r="G39" s="97"/>
      <c r="H39" s="47"/>
      <c r="I39" s="97">
        <f>SUM(I28:I38)</f>
        <v>82.469999999999985</v>
      </c>
      <c r="J39" s="72">
        <v>27.1</v>
      </c>
      <c r="K39" s="97">
        <f>I39*J39</f>
        <v>2234.9369999999999</v>
      </c>
    </row>
    <row r="40" spans="1:14" ht="6.75" customHeight="1">
      <c r="A40" s="7"/>
      <c r="B40" s="23"/>
      <c r="C40" s="24"/>
      <c r="D40" s="25"/>
      <c r="E40" s="54"/>
      <c r="F40" s="219"/>
      <c r="G40" s="97"/>
      <c r="H40" s="16"/>
      <c r="I40" s="213"/>
      <c r="J40" s="13"/>
      <c r="K40" s="214"/>
    </row>
    <row r="41" spans="1:14" ht="24">
      <c r="A41" s="120" t="s">
        <v>46</v>
      </c>
      <c r="B41" s="22" t="s">
        <v>125</v>
      </c>
      <c r="C41" s="22" t="s">
        <v>78</v>
      </c>
      <c r="D41" s="37" t="s">
        <v>3</v>
      </c>
      <c r="E41" s="55">
        <f>46.57*$A$42*0.78</f>
        <v>94.443960000000004</v>
      </c>
      <c r="F41" s="219">
        <f>E41/$A$42</f>
        <v>36.324600000000004</v>
      </c>
      <c r="G41" s="96"/>
      <c r="H41" s="88">
        <v>1</v>
      </c>
      <c r="I41" s="210">
        <f>ROUND(F41*H41,2)</f>
        <v>36.32</v>
      </c>
      <c r="J41" s="38"/>
      <c r="K41" s="211"/>
    </row>
    <row r="42" spans="1:14" ht="24">
      <c r="A42" s="115">
        <v>2.6</v>
      </c>
      <c r="B42" s="22" t="s">
        <v>117</v>
      </c>
      <c r="C42" s="85" t="s">
        <v>79</v>
      </c>
      <c r="D42" s="25" t="s">
        <v>3</v>
      </c>
      <c r="E42" s="55">
        <f>46.57*$A$42*0.22</f>
        <v>26.63804</v>
      </c>
      <c r="F42" s="219">
        <f t="shared" ref="F42:F48" si="9">E42/$A$42</f>
        <v>10.2454</v>
      </c>
      <c r="G42" s="96"/>
      <c r="H42" s="88">
        <v>1</v>
      </c>
      <c r="I42" s="211">
        <f t="shared" ref="I42:I48" si="10">ROUND(F42*H42,2)</f>
        <v>10.25</v>
      </c>
      <c r="J42" s="38"/>
      <c r="K42" s="211"/>
    </row>
    <row r="43" spans="1:14">
      <c r="A43" s="40"/>
      <c r="B43" s="36" t="s">
        <v>120</v>
      </c>
      <c r="C43" s="36" t="s">
        <v>36</v>
      </c>
      <c r="D43" s="37" t="s">
        <v>4</v>
      </c>
      <c r="E43" s="52">
        <f>16.75*$A$42</f>
        <v>43.550000000000004</v>
      </c>
      <c r="F43" s="220">
        <f t="shared" si="9"/>
        <v>16.75</v>
      </c>
      <c r="G43" s="96" t="s">
        <v>74</v>
      </c>
      <c r="H43" s="88">
        <v>1</v>
      </c>
      <c r="I43" s="211">
        <f t="shared" si="10"/>
        <v>16.75</v>
      </c>
      <c r="J43" s="38"/>
      <c r="K43" s="211"/>
    </row>
    <row r="44" spans="1:14">
      <c r="A44" s="35"/>
      <c r="B44" s="39" t="s">
        <v>198</v>
      </c>
      <c r="C44" s="36" t="s">
        <v>52</v>
      </c>
      <c r="D44" s="37" t="s">
        <v>226</v>
      </c>
      <c r="E44" s="52">
        <f>16.75*$A$42*5.38/1000</f>
        <v>0.23429900000000001</v>
      </c>
      <c r="F44" s="220">
        <f>E44/$A$42</f>
        <v>9.0115000000000001E-2</v>
      </c>
      <c r="G44" s="96" t="s">
        <v>74</v>
      </c>
      <c r="H44" s="46">
        <f>H6</f>
        <v>1</v>
      </c>
      <c r="I44" s="211">
        <f t="shared" si="10"/>
        <v>0.09</v>
      </c>
      <c r="J44" s="38"/>
      <c r="K44" s="211"/>
    </row>
    <row r="45" spans="1:14">
      <c r="A45" s="35"/>
      <c r="B45" s="39" t="s">
        <v>198</v>
      </c>
      <c r="C45" s="36" t="s">
        <v>67</v>
      </c>
      <c r="D45" s="37" t="s">
        <v>226</v>
      </c>
      <c r="E45" s="52">
        <f>16.75*$A$42*5.38/1000</f>
        <v>0.23429900000000001</v>
      </c>
      <c r="F45" s="220">
        <f t="shared" si="9"/>
        <v>9.0115000000000001E-2</v>
      </c>
      <c r="G45" s="96" t="s">
        <v>74</v>
      </c>
      <c r="H45" s="46">
        <f>H6</f>
        <v>1</v>
      </c>
      <c r="I45" s="211">
        <f t="shared" si="10"/>
        <v>0.09</v>
      </c>
      <c r="J45" s="38"/>
      <c r="K45" s="211"/>
    </row>
    <row r="46" spans="1:14">
      <c r="A46" s="35"/>
      <c r="B46" s="36" t="s">
        <v>225</v>
      </c>
      <c r="C46" s="36" t="s">
        <v>20</v>
      </c>
      <c r="D46" s="37" t="s">
        <v>226</v>
      </c>
      <c r="E46" s="52">
        <f>4.85*12.9/1000</f>
        <v>6.2564999999999996E-2</v>
      </c>
      <c r="F46" s="220">
        <f t="shared" si="9"/>
        <v>2.4063461538461537E-2</v>
      </c>
      <c r="G46" s="96" t="s">
        <v>74</v>
      </c>
      <c r="H46" s="88">
        <v>1</v>
      </c>
      <c r="I46" s="211">
        <f t="shared" si="10"/>
        <v>0.02</v>
      </c>
      <c r="J46" s="38"/>
      <c r="K46" s="211"/>
    </row>
    <row r="47" spans="1:14">
      <c r="A47" s="35"/>
      <c r="B47" s="39" t="s">
        <v>201</v>
      </c>
      <c r="C47" s="36" t="s">
        <v>9</v>
      </c>
      <c r="D47" s="37" t="s">
        <v>5</v>
      </c>
      <c r="E47" s="52">
        <f>6</f>
        <v>6</v>
      </c>
      <c r="F47" s="220">
        <f t="shared" si="9"/>
        <v>2.3076923076923075</v>
      </c>
      <c r="G47" s="96" t="str">
        <f>A$4</f>
        <v>Strosse/Sohle 6A.1 HR
(ohne KSG)</v>
      </c>
      <c r="H47" s="46">
        <f>H9</f>
        <v>1</v>
      </c>
      <c r="I47" s="211">
        <f t="shared" si="10"/>
        <v>2.31</v>
      </c>
      <c r="J47" s="38"/>
      <c r="K47" s="211"/>
    </row>
    <row r="48" spans="1:14">
      <c r="A48" s="35"/>
      <c r="B48" s="36" t="s">
        <v>122</v>
      </c>
      <c r="C48" s="36" t="s">
        <v>10</v>
      </c>
      <c r="D48" s="37" t="s">
        <v>4</v>
      </c>
      <c r="E48" s="52">
        <f>46.57</f>
        <v>46.57</v>
      </c>
      <c r="F48" s="220">
        <f t="shared" si="9"/>
        <v>17.911538461538463</v>
      </c>
      <c r="G48" s="96" t="str">
        <f>A$4</f>
        <v>Strosse/Sohle 6A.1 HR
(ohne KSG)</v>
      </c>
      <c r="H48" s="46">
        <f>H10</f>
        <v>1</v>
      </c>
      <c r="I48" s="211">
        <f t="shared" si="10"/>
        <v>17.91</v>
      </c>
      <c r="J48" s="38"/>
      <c r="K48" s="211"/>
    </row>
    <row r="49" spans="1:14">
      <c r="A49" s="35"/>
      <c r="B49" s="36"/>
      <c r="C49" s="36"/>
      <c r="D49" s="37" t="s">
        <v>249</v>
      </c>
      <c r="E49" s="52"/>
      <c r="F49" s="218">
        <v>1</v>
      </c>
      <c r="G49" s="240" t="s">
        <v>253</v>
      </c>
      <c r="H49" s="46"/>
      <c r="I49" s="211"/>
      <c r="J49" s="38"/>
      <c r="K49" s="211"/>
    </row>
    <row r="50" spans="1:14">
      <c r="A50" s="35"/>
      <c r="B50" s="112" t="s">
        <v>94</v>
      </c>
      <c r="C50" s="36" t="s">
        <v>97</v>
      </c>
      <c r="D50" s="37" t="s">
        <v>33</v>
      </c>
      <c r="E50" s="117"/>
      <c r="F50" s="241">
        <f>F12</f>
        <v>1</v>
      </c>
      <c r="G50" s="240" t="s">
        <v>235</v>
      </c>
      <c r="H50" s="34">
        <f>$H$12</f>
        <v>1</v>
      </c>
      <c r="I50" s="211">
        <f>ROUND(H50/(F50*F49),2)</f>
        <v>1</v>
      </c>
      <c r="J50" s="38"/>
      <c r="K50" s="211"/>
    </row>
    <row r="51" spans="1:14">
      <c r="A51" s="35"/>
      <c r="B51" s="112" t="s">
        <v>96</v>
      </c>
      <c r="C51" s="36" t="s">
        <v>95</v>
      </c>
      <c r="D51" s="37" t="s">
        <v>33</v>
      </c>
      <c r="E51" s="117"/>
      <c r="F51" s="241">
        <f>F13</f>
        <v>1</v>
      </c>
      <c r="G51" s="240" t="s">
        <v>250</v>
      </c>
      <c r="H51" s="34">
        <f>$H$13</f>
        <v>1</v>
      </c>
      <c r="I51" s="211">
        <f>ROUND(H51/(F51*F49),2)</f>
        <v>1</v>
      </c>
      <c r="J51" s="38"/>
      <c r="K51" s="211"/>
    </row>
    <row r="52" spans="1:14">
      <c r="A52" s="7"/>
      <c r="B52" s="23"/>
      <c r="C52" s="24" t="s">
        <v>93</v>
      </c>
      <c r="D52" s="25"/>
      <c r="E52" s="55"/>
      <c r="F52" s="219"/>
      <c r="G52" s="97"/>
      <c r="H52" s="16"/>
      <c r="I52" s="213">
        <f>SUM(I41:I51)</f>
        <v>85.740000000000009</v>
      </c>
      <c r="J52" s="14">
        <v>74.900000000000006</v>
      </c>
      <c r="K52" s="213">
        <f>I52*J52</f>
        <v>6421.9260000000013</v>
      </c>
    </row>
    <row r="53" spans="1:14" s="59" customFormat="1" ht="6.75" customHeight="1">
      <c r="A53" s="62"/>
      <c r="B53" s="62"/>
      <c r="C53" s="24"/>
      <c r="D53" s="25"/>
      <c r="E53" s="54"/>
      <c r="F53" s="219"/>
      <c r="G53" s="97"/>
      <c r="H53" s="63"/>
      <c r="I53" s="232"/>
      <c r="J53" s="65"/>
      <c r="K53" s="235"/>
    </row>
    <row r="54" spans="1:14" s="59" customFormat="1" ht="24">
      <c r="A54" s="58" t="s">
        <v>49</v>
      </c>
      <c r="B54" s="22" t="s">
        <v>110</v>
      </c>
      <c r="C54" s="22" t="s">
        <v>78</v>
      </c>
      <c r="D54" s="37" t="s">
        <v>3</v>
      </c>
      <c r="E54" s="55">
        <f>36.06*$A$55*0.78</f>
        <v>73.129680000000008</v>
      </c>
      <c r="F54" s="219">
        <f>E54/$A$55</f>
        <v>28.126800000000003</v>
      </c>
      <c r="G54" s="96"/>
      <c r="H54" s="89">
        <v>1</v>
      </c>
      <c r="I54" s="210">
        <f>ROUND(F54*H54,2)</f>
        <v>28.13</v>
      </c>
      <c r="J54" s="70"/>
      <c r="K54" s="96"/>
      <c r="N54"/>
    </row>
    <row r="55" spans="1:14" s="59" customFormat="1" ht="24">
      <c r="A55" s="115">
        <v>2.6</v>
      </c>
      <c r="B55" s="22" t="s">
        <v>109</v>
      </c>
      <c r="C55" s="85" t="s">
        <v>79</v>
      </c>
      <c r="D55" s="25" t="s">
        <v>3</v>
      </c>
      <c r="E55" s="55">
        <f>36.06*$A$55*0.22</f>
        <v>20.626320000000003</v>
      </c>
      <c r="F55" s="219">
        <f>E55/$A$55</f>
        <v>7.9332000000000011</v>
      </c>
      <c r="G55" s="96"/>
      <c r="H55" s="89">
        <v>1</v>
      </c>
      <c r="I55" s="211">
        <f t="shared" ref="I55:I62" si="11">ROUND(F55*H55,2)</f>
        <v>7.93</v>
      </c>
      <c r="J55" s="70"/>
      <c r="K55" s="96"/>
      <c r="N55"/>
    </row>
    <row r="56" spans="1:14" s="59" customFormat="1">
      <c r="A56" s="60"/>
      <c r="B56" s="39" t="s">
        <v>216</v>
      </c>
      <c r="C56" s="36" t="s">
        <v>53</v>
      </c>
      <c r="D56" s="37" t="s">
        <v>4</v>
      </c>
      <c r="E56" s="52">
        <f>12.32*$A$55</f>
        <v>32.032000000000004</v>
      </c>
      <c r="F56" s="220">
        <f t="shared" ref="F56:F62" si="12">E56/$A$55</f>
        <v>12.32</v>
      </c>
      <c r="G56" s="96"/>
      <c r="H56" s="89">
        <v>1</v>
      </c>
      <c r="I56" s="211">
        <f t="shared" si="11"/>
        <v>12.32</v>
      </c>
      <c r="J56" s="70"/>
      <c r="K56" s="96"/>
      <c r="N56"/>
    </row>
    <row r="57" spans="1:14" s="59" customFormat="1">
      <c r="A57" s="66"/>
      <c r="B57" s="36" t="s">
        <v>120</v>
      </c>
      <c r="C57" s="36" t="s">
        <v>36</v>
      </c>
      <c r="D57" s="37" t="s">
        <v>4</v>
      </c>
      <c r="E57" s="52">
        <f>16.75*$A$55</f>
        <v>43.550000000000004</v>
      </c>
      <c r="F57" s="220">
        <f t="shared" si="12"/>
        <v>16.75</v>
      </c>
      <c r="G57" s="96" t="str">
        <f>A$41</f>
        <v>Strosse/Sohle 7A.1 HR
(ohne KSG)</v>
      </c>
      <c r="H57" s="46">
        <f>H43</f>
        <v>1</v>
      </c>
      <c r="I57" s="211">
        <f t="shared" si="11"/>
        <v>16.75</v>
      </c>
      <c r="J57" s="70"/>
      <c r="K57" s="96"/>
      <c r="N57"/>
    </row>
    <row r="58" spans="1:14" s="59" customFormat="1">
      <c r="A58" s="60"/>
      <c r="B58" s="39" t="s">
        <v>198</v>
      </c>
      <c r="C58" s="36" t="s">
        <v>52</v>
      </c>
      <c r="D58" s="37" t="s">
        <v>226</v>
      </c>
      <c r="E58" s="52">
        <f>16.75*$A$55*5.38/1000</f>
        <v>0.23429900000000001</v>
      </c>
      <c r="F58" s="220">
        <f t="shared" si="12"/>
        <v>9.0115000000000001E-2</v>
      </c>
      <c r="G58" s="96" t="str">
        <f t="shared" ref="G58:G60" si="13">A$41</f>
        <v>Strosse/Sohle 7A.1 HR
(ohne KSG)</v>
      </c>
      <c r="H58" s="46">
        <f>H6</f>
        <v>1</v>
      </c>
      <c r="I58" s="211">
        <f t="shared" si="11"/>
        <v>0.09</v>
      </c>
      <c r="J58" s="70"/>
      <c r="K58" s="96"/>
      <c r="N58"/>
    </row>
    <row r="59" spans="1:14" s="59" customFormat="1">
      <c r="A59" s="60"/>
      <c r="B59" s="39" t="s">
        <v>198</v>
      </c>
      <c r="C59" s="36" t="s">
        <v>67</v>
      </c>
      <c r="D59" s="37" t="s">
        <v>226</v>
      </c>
      <c r="E59" s="52">
        <f>16.75*$A$55*5.38/1000</f>
        <v>0.23429900000000001</v>
      </c>
      <c r="F59" s="220">
        <f t="shared" si="12"/>
        <v>9.0115000000000001E-2</v>
      </c>
      <c r="G59" s="96" t="str">
        <f t="shared" si="13"/>
        <v>Strosse/Sohle 7A.1 HR
(ohne KSG)</v>
      </c>
      <c r="H59" s="46">
        <f>H45</f>
        <v>1</v>
      </c>
      <c r="I59" s="211">
        <f t="shared" si="11"/>
        <v>0.09</v>
      </c>
      <c r="J59" s="70"/>
      <c r="K59" s="96"/>
      <c r="N59"/>
    </row>
    <row r="60" spans="1:14" s="59" customFormat="1">
      <c r="A60" s="60"/>
      <c r="B60" s="36" t="s">
        <v>225</v>
      </c>
      <c r="C60" s="36" t="s">
        <v>20</v>
      </c>
      <c r="D60" s="37" t="s">
        <v>226</v>
      </c>
      <c r="E60" s="52">
        <f>4.85*12.9/1000</f>
        <v>6.2564999999999996E-2</v>
      </c>
      <c r="F60" s="220">
        <f t="shared" si="12"/>
        <v>2.4063461538461537E-2</v>
      </c>
      <c r="G60" s="96" t="str">
        <f t="shared" si="13"/>
        <v>Strosse/Sohle 7A.1 HR
(ohne KSG)</v>
      </c>
      <c r="H60" s="46">
        <f>H46</f>
        <v>1</v>
      </c>
      <c r="I60" s="211">
        <f t="shared" si="11"/>
        <v>0.02</v>
      </c>
      <c r="J60" s="70"/>
      <c r="K60" s="96"/>
      <c r="N60"/>
    </row>
    <row r="61" spans="1:14" s="59" customFormat="1">
      <c r="A61" s="60"/>
      <c r="B61" s="39" t="s">
        <v>201</v>
      </c>
      <c r="C61" s="36" t="s">
        <v>9</v>
      </c>
      <c r="D61" s="37" t="s">
        <v>33</v>
      </c>
      <c r="E61" s="52">
        <f>6</f>
        <v>6</v>
      </c>
      <c r="F61" s="220">
        <f t="shared" si="12"/>
        <v>2.3076923076923075</v>
      </c>
      <c r="G61" s="96" t="str">
        <f>A$4</f>
        <v>Strosse/Sohle 6A.1 HR
(ohne KSG)</v>
      </c>
      <c r="H61" s="46">
        <f>H9</f>
        <v>1</v>
      </c>
      <c r="I61" s="211">
        <f t="shared" si="11"/>
        <v>2.31</v>
      </c>
      <c r="J61" s="70"/>
      <c r="K61" s="96"/>
      <c r="N61"/>
    </row>
    <row r="62" spans="1:14" s="59" customFormat="1">
      <c r="A62" s="60"/>
      <c r="B62" s="36" t="s">
        <v>122</v>
      </c>
      <c r="C62" s="36" t="s">
        <v>10</v>
      </c>
      <c r="D62" s="37" t="s">
        <v>4</v>
      </c>
      <c r="E62" s="52">
        <f>36.06</f>
        <v>36.06</v>
      </c>
      <c r="F62" s="220">
        <f t="shared" si="12"/>
        <v>13.86923076923077</v>
      </c>
      <c r="G62" s="96" t="str">
        <f>A$4</f>
        <v>Strosse/Sohle 6A.1 HR
(ohne KSG)</v>
      </c>
      <c r="H62" s="46">
        <f>H10</f>
        <v>1</v>
      </c>
      <c r="I62" s="211">
        <f t="shared" si="11"/>
        <v>13.87</v>
      </c>
      <c r="J62" s="70"/>
      <c r="K62" s="96"/>
      <c r="N62"/>
    </row>
    <row r="63" spans="1:14" s="59" customFormat="1">
      <c r="A63" s="60"/>
      <c r="B63" s="36"/>
      <c r="C63" s="36"/>
      <c r="D63" s="37" t="s">
        <v>249</v>
      </c>
      <c r="E63" s="52"/>
      <c r="F63" s="218">
        <v>1</v>
      </c>
      <c r="G63" s="240" t="s">
        <v>254</v>
      </c>
      <c r="H63" s="46"/>
      <c r="I63" s="211"/>
      <c r="J63" s="70"/>
      <c r="K63" s="96"/>
      <c r="N63"/>
    </row>
    <row r="64" spans="1:14">
      <c r="A64" s="35"/>
      <c r="B64" s="112" t="s">
        <v>94</v>
      </c>
      <c r="C64" s="36" t="s">
        <v>97</v>
      </c>
      <c r="D64" s="37" t="s">
        <v>33</v>
      </c>
      <c r="E64" s="117"/>
      <c r="F64" s="241">
        <f>F12</f>
        <v>1</v>
      </c>
      <c r="G64" s="240" t="s">
        <v>235</v>
      </c>
      <c r="H64" s="34">
        <f>$H$12</f>
        <v>1</v>
      </c>
      <c r="I64" s="211">
        <f>ROUND(H64/(F64*F63),2)</f>
        <v>1</v>
      </c>
      <c r="J64" s="38"/>
      <c r="K64" s="211"/>
    </row>
    <row r="65" spans="1:11">
      <c r="A65" s="35"/>
      <c r="B65" s="112" t="s">
        <v>96</v>
      </c>
      <c r="C65" s="36" t="s">
        <v>95</v>
      </c>
      <c r="D65" s="37" t="s">
        <v>33</v>
      </c>
      <c r="E65" s="117"/>
      <c r="F65" s="241">
        <f>F13</f>
        <v>1</v>
      </c>
      <c r="G65" s="240" t="s">
        <v>250</v>
      </c>
      <c r="H65" s="34">
        <f>$H$13</f>
        <v>1</v>
      </c>
      <c r="I65" s="211">
        <f>ROUND(H65/(F65*F63),2)</f>
        <v>1</v>
      </c>
      <c r="J65" s="38"/>
      <c r="K65" s="211"/>
    </row>
    <row r="66" spans="1:11" s="59" customFormat="1">
      <c r="A66" s="62"/>
      <c r="B66" s="23"/>
      <c r="C66" s="24" t="s">
        <v>93</v>
      </c>
      <c r="D66" s="25"/>
      <c r="E66" s="55"/>
      <c r="F66" s="219"/>
      <c r="G66" s="97"/>
      <c r="H66" s="47"/>
      <c r="I66" s="97">
        <f>SUM(I54:I65)</f>
        <v>83.51</v>
      </c>
      <c r="J66" s="72">
        <v>51.4</v>
      </c>
      <c r="K66" s="97">
        <f>I66*J66</f>
        <v>4292.4139999999998</v>
      </c>
    </row>
    <row r="67" spans="1:11" ht="6.75" customHeight="1">
      <c r="A67" s="62"/>
      <c r="B67" s="27"/>
      <c r="C67" s="41"/>
      <c r="D67" s="26"/>
      <c r="E67" s="55"/>
      <c r="F67" s="221"/>
      <c r="G67" s="98"/>
      <c r="H67" s="31"/>
      <c r="I67" s="210"/>
      <c r="J67" s="14"/>
      <c r="K67" s="213"/>
    </row>
    <row r="68" spans="1:11" ht="24">
      <c r="A68" s="120" t="s">
        <v>47</v>
      </c>
      <c r="B68" s="21" t="s">
        <v>126</v>
      </c>
      <c r="C68" s="21" t="s">
        <v>80</v>
      </c>
      <c r="D68" s="26" t="s">
        <v>3</v>
      </c>
      <c r="E68" s="55">
        <v>45.638599999999997</v>
      </c>
      <c r="F68" s="221">
        <f t="shared" ref="F68:F75" si="14">E68/$A$69</f>
        <v>22.819299999999998</v>
      </c>
      <c r="G68" s="98"/>
      <c r="H68" s="90">
        <v>1</v>
      </c>
      <c r="I68" s="210">
        <f>ROUND(F68*H68,2)</f>
        <v>22.82</v>
      </c>
      <c r="J68" s="38"/>
      <c r="K68" s="211"/>
    </row>
    <row r="69" spans="1:11" ht="24">
      <c r="A69" s="118">
        <v>2</v>
      </c>
      <c r="B69" s="22" t="s">
        <v>118</v>
      </c>
      <c r="C69" s="85" t="s">
        <v>81</v>
      </c>
      <c r="D69" s="25" t="s">
        <v>3</v>
      </c>
      <c r="E69" s="55">
        <v>47.501400000000004</v>
      </c>
      <c r="F69" s="221">
        <f t="shared" si="14"/>
        <v>23.750700000000002</v>
      </c>
      <c r="G69" s="96"/>
      <c r="H69" s="88">
        <v>1</v>
      </c>
      <c r="I69" s="211">
        <f t="shared" ref="I69:I75" si="15">ROUND(F69*H69,2)</f>
        <v>23.75</v>
      </c>
      <c r="J69" s="38"/>
      <c r="K69" s="211"/>
    </row>
    <row r="70" spans="1:11">
      <c r="A70" s="40"/>
      <c r="B70" s="36" t="s">
        <v>120</v>
      </c>
      <c r="C70" s="36" t="s">
        <v>36</v>
      </c>
      <c r="D70" s="37" t="s">
        <v>4</v>
      </c>
      <c r="E70" s="52">
        <v>33.5</v>
      </c>
      <c r="F70" s="221">
        <f t="shared" si="14"/>
        <v>16.75</v>
      </c>
      <c r="G70" s="96" t="str">
        <f>A$41</f>
        <v>Strosse/Sohle 7A.1 HR
(ohne KSG)</v>
      </c>
      <c r="H70" s="34">
        <f>H43</f>
        <v>1</v>
      </c>
      <c r="I70" s="211">
        <f t="shared" si="15"/>
        <v>16.75</v>
      </c>
      <c r="J70" s="38"/>
      <c r="K70" s="211"/>
    </row>
    <row r="71" spans="1:11">
      <c r="A71" s="35"/>
      <c r="B71" s="39" t="s">
        <v>198</v>
      </c>
      <c r="C71" s="36" t="s">
        <v>52</v>
      </c>
      <c r="D71" s="37" t="s">
        <v>226</v>
      </c>
      <c r="E71" s="52">
        <f>16.75*$A$69*5.38/1000</f>
        <v>0.18023</v>
      </c>
      <c r="F71" s="220">
        <f t="shared" si="14"/>
        <v>9.0115000000000001E-2</v>
      </c>
      <c r="G71" s="96" t="str">
        <f t="shared" ref="G71:G73" si="16">A$41</f>
        <v>Strosse/Sohle 7A.1 HR
(ohne KSG)</v>
      </c>
      <c r="H71" s="34">
        <f>H6</f>
        <v>1</v>
      </c>
      <c r="I71" s="211">
        <f t="shared" si="15"/>
        <v>0.09</v>
      </c>
      <c r="J71" s="38"/>
      <c r="K71" s="211"/>
    </row>
    <row r="72" spans="1:11">
      <c r="A72" s="35"/>
      <c r="B72" s="39" t="s">
        <v>198</v>
      </c>
      <c r="C72" s="36" t="s">
        <v>67</v>
      </c>
      <c r="D72" s="37" t="s">
        <v>226</v>
      </c>
      <c r="E72" s="52">
        <f>16.75*$A$69*5.38/1000</f>
        <v>0.18023</v>
      </c>
      <c r="F72" s="220">
        <f t="shared" si="14"/>
        <v>9.0115000000000001E-2</v>
      </c>
      <c r="G72" s="96" t="str">
        <f t="shared" si="16"/>
        <v>Strosse/Sohle 7A.1 HR
(ohne KSG)</v>
      </c>
      <c r="H72" s="34">
        <f>H6</f>
        <v>1</v>
      </c>
      <c r="I72" s="211">
        <f t="shared" si="15"/>
        <v>0.09</v>
      </c>
      <c r="J72" s="38"/>
      <c r="K72" s="211"/>
    </row>
    <row r="73" spans="1:11">
      <c r="A73" s="35"/>
      <c r="B73" s="36" t="s">
        <v>225</v>
      </c>
      <c r="C73" s="36" t="s">
        <v>20</v>
      </c>
      <c r="D73" s="37" t="s">
        <v>226</v>
      </c>
      <c r="E73" s="52">
        <f>4.85*12.9/1000</f>
        <v>6.2564999999999996E-2</v>
      </c>
      <c r="F73" s="220">
        <f t="shared" si="14"/>
        <v>3.1282499999999998E-2</v>
      </c>
      <c r="G73" s="96" t="str">
        <f t="shared" si="16"/>
        <v>Strosse/Sohle 7A.1 HR
(ohne KSG)</v>
      </c>
      <c r="H73" s="34">
        <f>H46</f>
        <v>1</v>
      </c>
      <c r="I73" s="211">
        <f t="shared" si="15"/>
        <v>0.03</v>
      </c>
      <c r="J73" s="38"/>
      <c r="K73" s="211"/>
    </row>
    <row r="74" spans="1:11">
      <c r="A74" s="35"/>
      <c r="B74" s="39" t="s">
        <v>217</v>
      </c>
      <c r="C74" s="36" t="s">
        <v>14</v>
      </c>
      <c r="D74" s="37" t="s">
        <v>33</v>
      </c>
      <c r="E74" s="52">
        <v>6</v>
      </c>
      <c r="F74" s="220">
        <f t="shared" si="14"/>
        <v>3</v>
      </c>
      <c r="G74" s="96" t="s">
        <v>74</v>
      </c>
      <c r="H74" s="88">
        <v>1</v>
      </c>
      <c r="I74" s="211">
        <f t="shared" si="15"/>
        <v>3</v>
      </c>
      <c r="J74" s="38"/>
      <c r="K74" s="211"/>
    </row>
    <row r="75" spans="1:11">
      <c r="A75" s="35"/>
      <c r="B75" s="36" t="s">
        <v>122</v>
      </c>
      <c r="C75" s="36" t="s">
        <v>10</v>
      </c>
      <c r="D75" s="37" t="s">
        <v>4</v>
      </c>
      <c r="E75" s="52">
        <v>46.57</v>
      </c>
      <c r="F75" s="220">
        <f t="shared" si="14"/>
        <v>23.285</v>
      </c>
      <c r="G75" s="96" t="str">
        <f>A$4</f>
        <v>Strosse/Sohle 6A.1 HR
(ohne KSG)</v>
      </c>
      <c r="H75" s="34">
        <f>H10</f>
        <v>1</v>
      </c>
      <c r="I75" s="211">
        <f t="shared" si="15"/>
        <v>23.29</v>
      </c>
      <c r="J75" s="38"/>
      <c r="K75" s="211"/>
    </row>
    <row r="76" spans="1:11">
      <c r="A76" s="35"/>
      <c r="B76" s="36"/>
      <c r="C76" s="36"/>
      <c r="D76" s="37" t="s">
        <v>249</v>
      </c>
      <c r="E76" s="52"/>
      <c r="F76" s="218">
        <v>1</v>
      </c>
      <c r="G76" s="240" t="s">
        <v>256</v>
      </c>
      <c r="H76" s="34"/>
      <c r="I76" s="211"/>
      <c r="J76" s="38"/>
      <c r="K76" s="211"/>
    </row>
    <row r="77" spans="1:11">
      <c r="A77" s="35"/>
      <c r="B77" s="112" t="s">
        <v>94</v>
      </c>
      <c r="C77" s="36" t="s">
        <v>97</v>
      </c>
      <c r="D77" s="37" t="s">
        <v>33</v>
      </c>
      <c r="E77" s="117"/>
      <c r="F77" s="241">
        <f>F12</f>
        <v>1</v>
      </c>
      <c r="G77" s="240" t="s">
        <v>235</v>
      </c>
      <c r="H77" s="34">
        <f>$H$12</f>
        <v>1</v>
      </c>
      <c r="I77" s="211">
        <f>ROUND(H77/(F77*F76),2)</f>
        <v>1</v>
      </c>
      <c r="J77" s="38"/>
      <c r="K77" s="211"/>
    </row>
    <row r="78" spans="1:11">
      <c r="A78" s="35"/>
      <c r="B78" s="112" t="s">
        <v>96</v>
      </c>
      <c r="C78" s="36" t="s">
        <v>95</v>
      </c>
      <c r="D78" s="37" t="s">
        <v>33</v>
      </c>
      <c r="E78" s="117"/>
      <c r="F78" s="241">
        <f>F13</f>
        <v>1</v>
      </c>
      <c r="G78" s="240" t="s">
        <v>250</v>
      </c>
      <c r="H78" s="34">
        <f>$H$13</f>
        <v>1</v>
      </c>
      <c r="I78" s="211">
        <f>ROUND(H78/(F78*F76),2)</f>
        <v>1</v>
      </c>
      <c r="J78" s="38"/>
      <c r="K78" s="211"/>
    </row>
    <row r="79" spans="1:11">
      <c r="A79" s="6"/>
      <c r="B79" s="27"/>
      <c r="C79" s="24" t="s">
        <v>93</v>
      </c>
      <c r="D79" s="26"/>
      <c r="E79" s="55"/>
      <c r="F79" s="221"/>
      <c r="G79" s="98"/>
      <c r="H79" s="31"/>
      <c r="I79" s="210">
        <f>SUM(I68:I78)</f>
        <v>91.82</v>
      </c>
      <c r="J79" s="15">
        <v>22.2</v>
      </c>
      <c r="K79" s="213">
        <f>I79*J79</f>
        <v>2038.4039999999998</v>
      </c>
    </row>
    <row r="80" spans="1:11" s="59" customFormat="1" ht="6.75" customHeight="1">
      <c r="A80" s="62"/>
      <c r="B80" s="67"/>
      <c r="C80" s="41"/>
      <c r="D80" s="26"/>
      <c r="E80" s="55"/>
      <c r="F80" s="221"/>
      <c r="G80" s="98"/>
      <c r="H80" s="68"/>
      <c r="I80" s="233"/>
      <c r="J80" s="64"/>
      <c r="K80" s="232"/>
    </row>
    <row r="81" spans="1:14" s="59" customFormat="1" ht="24">
      <c r="A81" s="58" t="s">
        <v>48</v>
      </c>
      <c r="B81" s="21" t="s">
        <v>112</v>
      </c>
      <c r="C81" s="21" t="s">
        <v>80</v>
      </c>
      <c r="D81" s="26" t="s">
        <v>3</v>
      </c>
      <c r="E81" s="234">
        <v>35.338799999999999</v>
      </c>
      <c r="F81" s="219">
        <f t="shared" ref="F81:F89" si="17">E81/$A$82</f>
        <v>17.6694</v>
      </c>
      <c r="G81" s="98"/>
      <c r="H81" s="91">
        <v>1</v>
      </c>
      <c r="I81" s="210">
        <f>ROUND(F81*H81,2)</f>
        <v>17.670000000000002</v>
      </c>
      <c r="J81" s="70"/>
      <c r="K81" s="96"/>
      <c r="N81"/>
    </row>
    <row r="82" spans="1:14" s="59" customFormat="1" ht="24">
      <c r="A82" s="118">
        <v>2</v>
      </c>
      <c r="B82" s="22" t="s">
        <v>111</v>
      </c>
      <c r="C82" s="85" t="s">
        <v>81</v>
      </c>
      <c r="D82" s="25" t="s">
        <v>3</v>
      </c>
      <c r="E82" s="234">
        <v>36.781200000000005</v>
      </c>
      <c r="F82" s="219">
        <f t="shared" si="17"/>
        <v>18.390600000000003</v>
      </c>
      <c r="G82" s="96"/>
      <c r="H82" s="89">
        <v>1</v>
      </c>
      <c r="I82" s="211">
        <f t="shared" ref="I82:I89" si="18">ROUND(F82*H82,2)</f>
        <v>18.39</v>
      </c>
      <c r="J82" s="70"/>
      <c r="K82" s="96"/>
      <c r="N82"/>
    </row>
    <row r="83" spans="1:14">
      <c r="A83" s="60"/>
      <c r="B83" s="39" t="s">
        <v>216</v>
      </c>
      <c r="C83" s="36" t="s">
        <v>53</v>
      </c>
      <c r="D83" s="37" t="s">
        <v>4</v>
      </c>
      <c r="E83" s="52">
        <v>24.64</v>
      </c>
      <c r="F83" s="220">
        <f t="shared" si="17"/>
        <v>12.32</v>
      </c>
      <c r="G83" s="96" t="str">
        <f>A54</f>
        <v>Strosse/Sohle 7A.1 HR
(mit KSG)</v>
      </c>
      <c r="H83" s="46">
        <f>H56</f>
        <v>1</v>
      </c>
      <c r="I83" s="211">
        <f t="shared" si="18"/>
        <v>12.32</v>
      </c>
      <c r="J83" s="70"/>
      <c r="K83" s="96"/>
    </row>
    <row r="84" spans="1:14" s="59" customFormat="1">
      <c r="A84" s="66"/>
      <c r="B84" s="36" t="s">
        <v>120</v>
      </c>
      <c r="C84" s="36" t="s">
        <v>36</v>
      </c>
      <c r="D84" s="37" t="s">
        <v>4</v>
      </c>
      <c r="E84" s="52">
        <v>33.5</v>
      </c>
      <c r="F84" s="220">
        <f t="shared" si="17"/>
        <v>16.75</v>
      </c>
      <c r="G84" s="96" t="str">
        <f>A$41</f>
        <v>Strosse/Sohle 7A.1 HR
(ohne KSG)</v>
      </c>
      <c r="H84" s="46">
        <f>H43</f>
        <v>1</v>
      </c>
      <c r="I84" s="211">
        <f t="shared" si="18"/>
        <v>16.75</v>
      </c>
      <c r="J84" s="70"/>
      <c r="K84" s="96"/>
      <c r="N84"/>
    </row>
    <row r="85" spans="1:14" s="59" customFormat="1">
      <c r="A85" s="60"/>
      <c r="B85" s="39" t="s">
        <v>198</v>
      </c>
      <c r="C85" s="36" t="s">
        <v>52</v>
      </c>
      <c r="D85" s="37" t="s">
        <v>226</v>
      </c>
      <c r="E85" s="52">
        <f>16.75*$A$82*5.38/1000</f>
        <v>0.18023</v>
      </c>
      <c r="F85" s="220">
        <f t="shared" si="17"/>
        <v>9.0115000000000001E-2</v>
      </c>
      <c r="G85" s="96" t="str">
        <f>A$41</f>
        <v>Strosse/Sohle 7A.1 HR
(ohne KSG)</v>
      </c>
      <c r="H85" s="46">
        <f>H44</f>
        <v>1</v>
      </c>
      <c r="I85" s="211">
        <f t="shared" si="18"/>
        <v>0.09</v>
      </c>
      <c r="J85" s="70"/>
      <c r="K85" s="96"/>
      <c r="N85"/>
    </row>
    <row r="86" spans="1:14" s="59" customFormat="1">
      <c r="A86" s="60"/>
      <c r="B86" s="39" t="s">
        <v>198</v>
      </c>
      <c r="C86" s="36" t="s">
        <v>67</v>
      </c>
      <c r="D86" s="37" t="s">
        <v>226</v>
      </c>
      <c r="E86" s="52">
        <f>16.75*$A$82*5.38/1000</f>
        <v>0.18023</v>
      </c>
      <c r="F86" s="220">
        <f t="shared" si="17"/>
        <v>9.0115000000000001E-2</v>
      </c>
      <c r="G86" s="96" t="str">
        <f>A$41</f>
        <v>Strosse/Sohle 7A.1 HR
(ohne KSG)</v>
      </c>
      <c r="H86" s="46">
        <f>H45</f>
        <v>1</v>
      </c>
      <c r="I86" s="211">
        <f t="shared" si="18"/>
        <v>0.09</v>
      </c>
      <c r="J86" s="70"/>
      <c r="K86" s="96"/>
      <c r="N86"/>
    </row>
    <row r="87" spans="1:14" s="59" customFormat="1">
      <c r="A87" s="60"/>
      <c r="B87" s="36" t="s">
        <v>225</v>
      </c>
      <c r="C87" s="36" t="s">
        <v>20</v>
      </c>
      <c r="D87" s="37" t="s">
        <v>226</v>
      </c>
      <c r="E87" s="52">
        <f>4.85*12.9/1000</f>
        <v>6.2564999999999996E-2</v>
      </c>
      <c r="F87" s="220">
        <f t="shared" si="17"/>
        <v>3.1282499999999998E-2</v>
      </c>
      <c r="G87" s="96" t="s">
        <v>46</v>
      </c>
      <c r="H87" s="46">
        <f>H46</f>
        <v>1</v>
      </c>
      <c r="I87" s="211">
        <f t="shared" si="18"/>
        <v>0.03</v>
      </c>
      <c r="J87" s="70"/>
      <c r="K87" s="96"/>
      <c r="N87"/>
    </row>
    <row r="88" spans="1:14" s="59" customFormat="1">
      <c r="A88" s="60"/>
      <c r="B88" s="39" t="s">
        <v>217</v>
      </c>
      <c r="C88" s="36" t="s">
        <v>14</v>
      </c>
      <c r="D88" s="37" t="s">
        <v>33</v>
      </c>
      <c r="E88" s="52">
        <v>6</v>
      </c>
      <c r="F88" s="220">
        <f t="shared" si="17"/>
        <v>3</v>
      </c>
      <c r="G88" s="96" t="s">
        <v>47</v>
      </c>
      <c r="H88" s="46">
        <f>H74</f>
        <v>1</v>
      </c>
      <c r="I88" s="211">
        <f t="shared" si="18"/>
        <v>3</v>
      </c>
      <c r="J88" s="70"/>
      <c r="K88" s="96"/>
      <c r="N88"/>
    </row>
    <row r="89" spans="1:14" s="59" customFormat="1">
      <c r="A89" s="60"/>
      <c r="B89" s="36" t="s">
        <v>122</v>
      </c>
      <c r="C89" s="36" t="s">
        <v>10</v>
      </c>
      <c r="D89" s="37" t="s">
        <v>4</v>
      </c>
      <c r="E89" s="52">
        <v>36.06</v>
      </c>
      <c r="F89" s="220">
        <f t="shared" si="17"/>
        <v>18.03</v>
      </c>
      <c r="G89" s="96" t="s">
        <v>55</v>
      </c>
      <c r="H89" s="46">
        <f>H10</f>
        <v>1</v>
      </c>
      <c r="I89" s="211">
        <f t="shared" si="18"/>
        <v>18.03</v>
      </c>
      <c r="J89" s="70"/>
      <c r="K89" s="96"/>
      <c r="N89"/>
    </row>
    <row r="90" spans="1:14" s="59" customFormat="1">
      <c r="A90" s="60"/>
      <c r="B90" s="36"/>
      <c r="C90" s="36"/>
      <c r="D90" s="37" t="s">
        <v>249</v>
      </c>
      <c r="E90" s="52"/>
      <c r="F90" s="218">
        <v>1</v>
      </c>
      <c r="G90" s="240" t="s">
        <v>255</v>
      </c>
      <c r="H90" s="46"/>
      <c r="I90" s="211"/>
      <c r="J90" s="70"/>
      <c r="K90" s="96"/>
      <c r="N90"/>
    </row>
    <row r="91" spans="1:14">
      <c r="A91" s="35"/>
      <c r="B91" s="112" t="s">
        <v>94</v>
      </c>
      <c r="C91" s="36" t="s">
        <v>97</v>
      </c>
      <c r="D91" s="37" t="s">
        <v>33</v>
      </c>
      <c r="E91" s="117"/>
      <c r="F91" s="241">
        <f>F12</f>
        <v>1</v>
      </c>
      <c r="G91" s="240" t="s">
        <v>235</v>
      </c>
      <c r="H91" s="34">
        <f>$H$12</f>
        <v>1</v>
      </c>
      <c r="I91" s="211">
        <f>ROUND(H91/(F91*F90),2)</f>
        <v>1</v>
      </c>
      <c r="J91" s="38"/>
      <c r="K91" s="211"/>
    </row>
    <row r="92" spans="1:14">
      <c r="A92" s="35"/>
      <c r="B92" s="112" t="s">
        <v>96</v>
      </c>
      <c r="C92" s="36" t="s">
        <v>95</v>
      </c>
      <c r="D92" s="37" t="s">
        <v>33</v>
      </c>
      <c r="E92" s="117"/>
      <c r="F92" s="241">
        <f>F13</f>
        <v>1</v>
      </c>
      <c r="G92" s="240" t="s">
        <v>250</v>
      </c>
      <c r="H92" s="34">
        <f>$H$13</f>
        <v>1</v>
      </c>
      <c r="I92" s="211">
        <f>ROUND(H92/(F92*F90),2)</f>
        <v>1</v>
      </c>
      <c r="J92" s="38"/>
      <c r="K92" s="211"/>
    </row>
    <row r="93" spans="1:14" s="59" customFormat="1">
      <c r="A93" s="67"/>
      <c r="B93" s="67"/>
      <c r="C93" s="24" t="s">
        <v>93</v>
      </c>
      <c r="D93" s="26"/>
      <c r="E93" s="55"/>
      <c r="F93" s="221"/>
      <c r="G93" s="98"/>
      <c r="H93" s="48"/>
      <c r="I93" s="98">
        <f>SUM(I81:I92)</f>
        <v>88.37</v>
      </c>
      <c r="J93" s="69">
        <v>55.8</v>
      </c>
      <c r="K93" s="97">
        <f>I93*J93</f>
        <v>4931.0460000000003</v>
      </c>
    </row>
    <row r="94" spans="1:14" ht="7.15" customHeight="1">
      <c r="A94" s="7"/>
      <c r="B94" s="23"/>
      <c r="C94" s="24"/>
      <c r="D94" s="25"/>
      <c r="E94" s="55"/>
      <c r="F94" s="219"/>
      <c r="G94" s="97"/>
      <c r="H94" s="16"/>
      <c r="I94" s="213"/>
      <c r="J94" s="14"/>
      <c r="K94" s="213"/>
    </row>
    <row r="95" spans="1:14" ht="24">
      <c r="A95" s="58" t="s">
        <v>54</v>
      </c>
      <c r="B95" s="22" t="s">
        <v>114</v>
      </c>
      <c r="C95" s="22" t="s">
        <v>85</v>
      </c>
      <c r="D95" s="37" t="s">
        <v>3</v>
      </c>
      <c r="E95" s="55">
        <f>(37.18)*$A$96*0.77</f>
        <v>57.257199999999997</v>
      </c>
      <c r="F95" s="220">
        <f t="shared" ref="F95:F103" si="19">E95/$A$96</f>
        <v>28.628599999999999</v>
      </c>
      <c r="G95" s="96"/>
      <c r="H95" s="88">
        <v>1</v>
      </c>
      <c r="I95" s="210">
        <f>ROUND(F95*H95,2)</f>
        <v>28.63</v>
      </c>
      <c r="J95" s="38"/>
      <c r="K95" s="211"/>
    </row>
    <row r="96" spans="1:14" ht="24">
      <c r="A96" s="118">
        <v>2</v>
      </c>
      <c r="B96" s="22" t="s">
        <v>113</v>
      </c>
      <c r="C96" s="85" t="s">
        <v>86</v>
      </c>
      <c r="D96" s="25" t="s">
        <v>3</v>
      </c>
      <c r="E96" s="55">
        <f>(37.18)*$A$96*0.23</f>
        <v>17.102800000000002</v>
      </c>
      <c r="F96" s="221">
        <f t="shared" si="19"/>
        <v>8.551400000000001</v>
      </c>
      <c r="G96" s="96"/>
      <c r="H96" s="88">
        <v>1</v>
      </c>
      <c r="I96" s="211">
        <f>ROUND(F96*H96,2)</f>
        <v>8.5500000000000007</v>
      </c>
      <c r="J96" s="38"/>
      <c r="K96" s="211"/>
    </row>
    <row r="97" spans="1:11">
      <c r="A97" s="73"/>
      <c r="B97" s="39" t="s">
        <v>216</v>
      </c>
      <c r="C97" s="36" t="s">
        <v>53</v>
      </c>
      <c r="D97" s="37" t="s">
        <v>4</v>
      </c>
      <c r="E97" s="230">
        <v>26.28</v>
      </c>
      <c r="F97" s="221">
        <f t="shared" si="19"/>
        <v>13.14</v>
      </c>
      <c r="G97" s="231" t="s">
        <v>47</v>
      </c>
      <c r="H97" s="34">
        <f>H56</f>
        <v>1</v>
      </c>
      <c r="I97" s="211">
        <f t="shared" ref="I97:I103" si="20">ROUND(F97*H97,2)</f>
        <v>13.14</v>
      </c>
      <c r="J97" s="38"/>
      <c r="K97" s="211"/>
    </row>
    <row r="98" spans="1:11">
      <c r="A98" s="40"/>
      <c r="B98" s="36" t="s">
        <v>120</v>
      </c>
      <c r="C98" s="36" t="s">
        <v>36</v>
      </c>
      <c r="D98" s="37" t="s">
        <v>4</v>
      </c>
      <c r="E98" s="230">
        <v>34.04</v>
      </c>
      <c r="F98" s="220">
        <f t="shared" si="19"/>
        <v>17.02</v>
      </c>
      <c r="G98" s="231" t="s">
        <v>46</v>
      </c>
      <c r="H98" s="34">
        <f>H43</f>
        <v>1</v>
      </c>
      <c r="I98" s="211">
        <f t="shared" si="20"/>
        <v>17.02</v>
      </c>
      <c r="J98" s="38"/>
      <c r="K98" s="211"/>
    </row>
    <row r="99" spans="1:11">
      <c r="A99" s="35"/>
      <c r="B99" s="39" t="s">
        <v>198</v>
      </c>
      <c r="C99" s="36" t="s">
        <v>52</v>
      </c>
      <c r="D99" s="37" t="s">
        <v>226</v>
      </c>
      <c r="E99" s="52">
        <f>17.02*5.38/1000</f>
        <v>9.1567599999999999E-2</v>
      </c>
      <c r="F99" s="220">
        <f t="shared" si="19"/>
        <v>4.5783799999999999E-2</v>
      </c>
      <c r="G99" s="96" t="s">
        <v>46</v>
      </c>
      <c r="H99" s="34">
        <f>H6</f>
        <v>1</v>
      </c>
      <c r="I99" s="211">
        <f t="shared" si="20"/>
        <v>0.05</v>
      </c>
      <c r="J99" s="38"/>
      <c r="K99" s="211"/>
    </row>
    <row r="100" spans="1:11">
      <c r="A100" s="35"/>
      <c r="B100" s="39" t="s">
        <v>198</v>
      </c>
      <c r="C100" s="36" t="s">
        <v>67</v>
      </c>
      <c r="D100" s="37" t="s">
        <v>226</v>
      </c>
      <c r="E100" s="52">
        <f>17.02*5.38/1000</f>
        <v>9.1567599999999999E-2</v>
      </c>
      <c r="F100" s="220">
        <f t="shared" si="19"/>
        <v>4.5783799999999999E-2</v>
      </c>
      <c r="G100" s="96" t="s">
        <v>46</v>
      </c>
      <c r="H100" s="34">
        <f>H6</f>
        <v>1</v>
      </c>
      <c r="I100" s="211">
        <f t="shared" si="20"/>
        <v>0.05</v>
      </c>
      <c r="J100" s="38"/>
      <c r="K100" s="211"/>
    </row>
    <row r="101" spans="1:11">
      <c r="A101" s="35"/>
      <c r="B101" s="36" t="s">
        <v>225</v>
      </c>
      <c r="C101" s="36" t="s">
        <v>20</v>
      </c>
      <c r="D101" s="37" t="s">
        <v>226</v>
      </c>
      <c r="E101" s="52">
        <f>5.03*12.9/1000</f>
        <v>6.4887E-2</v>
      </c>
      <c r="F101" s="220">
        <f t="shared" si="19"/>
        <v>3.24435E-2</v>
      </c>
      <c r="G101" s="96" t="s">
        <v>46</v>
      </c>
      <c r="H101" s="34">
        <f t="shared" ref="H101" si="21">H46</f>
        <v>1</v>
      </c>
      <c r="I101" s="211">
        <f t="shared" si="20"/>
        <v>0.03</v>
      </c>
      <c r="J101" s="38"/>
      <c r="K101" s="211"/>
    </row>
    <row r="102" spans="1:11">
      <c r="A102" s="35"/>
      <c r="B102" s="39" t="s">
        <v>217</v>
      </c>
      <c r="C102" s="36" t="s">
        <v>14</v>
      </c>
      <c r="D102" s="37" t="s">
        <v>33</v>
      </c>
      <c r="E102" s="52">
        <v>6</v>
      </c>
      <c r="F102" s="220">
        <f t="shared" si="19"/>
        <v>3</v>
      </c>
      <c r="G102" s="96" t="s">
        <v>47</v>
      </c>
      <c r="H102" s="34">
        <f>H74</f>
        <v>1</v>
      </c>
      <c r="I102" s="211">
        <f t="shared" si="20"/>
        <v>3</v>
      </c>
      <c r="J102" s="38"/>
      <c r="K102" s="211"/>
    </row>
    <row r="103" spans="1:11">
      <c r="A103" s="35"/>
      <c r="B103" s="36" t="s">
        <v>122</v>
      </c>
      <c r="C103" s="36" t="s">
        <v>10</v>
      </c>
      <c r="D103" s="37" t="s">
        <v>4</v>
      </c>
      <c r="E103" s="52">
        <v>37.18</v>
      </c>
      <c r="F103" s="220">
        <f t="shared" si="19"/>
        <v>18.59</v>
      </c>
      <c r="G103" s="96" t="s">
        <v>55</v>
      </c>
      <c r="H103" s="34">
        <f>H10</f>
        <v>1</v>
      </c>
      <c r="I103" s="211">
        <f t="shared" si="20"/>
        <v>18.59</v>
      </c>
      <c r="J103" s="38"/>
      <c r="K103" s="211"/>
    </row>
    <row r="104" spans="1:11">
      <c r="A104" s="35"/>
      <c r="B104" s="36"/>
      <c r="C104" s="36"/>
      <c r="D104" s="37" t="s">
        <v>249</v>
      </c>
      <c r="E104" s="52"/>
      <c r="F104" s="218">
        <v>1</v>
      </c>
      <c r="G104" s="240" t="s">
        <v>257</v>
      </c>
      <c r="H104" s="34"/>
      <c r="I104" s="211"/>
      <c r="J104" s="38"/>
      <c r="K104" s="211"/>
    </row>
    <row r="105" spans="1:11">
      <c r="A105" s="35"/>
      <c r="B105" s="112" t="s">
        <v>94</v>
      </c>
      <c r="C105" s="36" t="s">
        <v>97</v>
      </c>
      <c r="D105" s="37" t="s">
        <v>33</v>
      </c>
      <c r="E105" s="117"/>
      <c r="F105" s="241">
        <f>F12</f>
        <v>1</v>
      </c>
      <c r="G105" s="240" t="s">
        <v>235</v>
      </c>
      <c r="H105" s="34">
        <f>$H$12</f>
        <v>1</v>
      </c>
      <c r="I105" s="211">
        <f>ROUND(H105/(F105*F104),2)</f>
        <v>1</v>
      </c>
      <c r="J105" s="38"/>
      <c r="K105" s="211"/>
    </row>
    <row r="106" spans="1:11">
      <c r="A106" s="35"/>
      <c r="B106" s="112" t="s">
        <v>96</v>
      </c>
      <c r="C106" s="36" t="s">
        <v>95</v>
      </c>
      <c r="D106" s="37" t="s">
        <v>33</v>
      </c>
      <c r="E106" s="117"/>
      <c r="F106" s="241">
        <f>F13</f>
        <v>1</v>
      </c>
      <c r="G106" s="240" t="s">
        <v>250</v>
      </c>
      <c r="H106" s="34">
        <f>$H$13</f>
        <v>1</v>
      </c>
      <c r="I106" s="211">
        <f>ROUND(H106/(F106*F104),2)</f>
        <v>1</v>
      </c>
      <c r="J106" s="38"/>
      <c r="K106" s="211"/>
    </row>
    <row r="107" spans="1:11">
      <c r="A107" s="6"/>
      <c r="B107" s="27"/>
      <c r="C107" s="24" t="s">
        <v>93</v>
      </c>
      <c r="D107" s="26"/>
      <c r="E107" s="74"/>
      <c r="F107" s="221"/>
      <c r="G107" s="98"/>
      <c r="H107" s="31"/>
      <c r="I107" s="210">
        <f>SUM(I95:I106)</f>
        <v>91.06</v>
      </c>
      <c r="J107" s="15">
        <v>110.2</v>
      </c>
      <c r="K107" s="210">
        <f>I107*J107</f>
        <v>10034.812</v>
      </c>
    </row>
    <row r="108" spans="1:11" ht="11.25" customHeight="1">
      <c r="A108" s="261"/>
      <c r="B108" s="262"/>
      <c r="C108" s="262"/>
      <c r="D108" s="28"/>
      <c r="E108" s="75"/>
      <c r="F108" s="222"/>
      <c r="G108" s="99"/>
      <c r="H108" s="19"/>
      <c r="I108" s="19"/>
      <c r="J108" s="19"/>
      <c r="K108" s="236"/>
    </row>
    <row r="109" spans="1:11" ht="30" customHeight="1">
      <c r="A109" s="263"/>
      <c r="B109" s="264"/>
      <c r="C109" s="264"/>
      <c r="D109" s="29"/>
      <c r="E109" s="76"/>
      <c r="F109" s="223"/>
      <c r="G109" s="260"/>
      <c r="H109" s="260"/>
      <c r="I109" s="260"/>
      <c r="J109" s="18"/>
      <c r="K109" s="237"/>
    </row>
    <row r="110" spans="1:11" ht="18" customHeight="1">
      <c r="A110" s="107"/>
      <c r="B110" s="107"/>
      <c r="C110" s="107"/>
      <c r="D110" s="108"/>
      <c r="E110" s="109"/>
      <c r="F110" s="224"/>
      <c r="G110" s="265"/>
      <c r="H110" s="265"/>
      <c r="I110" s="265"/>
      <c r="J110" s="265"/>
      <c r="K110" s="265"/>
    </row>
    <row r="111" spans="1:11" ht="42.75" customHeight="1">
      <c r="A111" s="259"/>
      <c r="B111" s="259"/>
      <c r="C111" s="259"/>
      <c r="D111" s="259"/>
      <c r="E111" s="259"/>
      <c r="F111" s="259"/>
      <c r="G111" s="259"/>
      <c r="H111" s="259"/>
      <c r="I111" s="259"/>
      <c r="J111" s="259"/>
      <c r="K111" s="259"/>
    </row>
    <row r="114" ht="40.5" customHeight="1"/>
  </sheetData>
  <sheetProtection algorithmName="SHA-512" hashValue="wHagVp0zgmqx4w3Q79dwYf+TTf4YzxbhGfKRd2/zHxpTfmDpcbOdN+DZv1QkUKL/6uoUP1WPVD2M9KnmFUTuOw==" saltValue="s/h3v08q4ECC5TZPUQDD8A==" spinCount="100000" sheet="1" objects="1" scenarios="1" selectLockedCells="1"/>
  <mergeCells count="6">
    <mergeCell ref="A2:F2"/>
    <mergeCell ref="H2:K2"/>
    <mergeCell ref="A108:C109"/>
    <mergeCell ref="A111:K111"/>
    <mergeCell ref="G109:I109"/>
    <mergeCell ref="G110:K110"/>
  </mergeCells>
  <conditionalFormatting sqref="A50:E51">
    <cfRule type="expression" dxfId="46" priority="60">
      <formula>CELL("Schutz",A50)=0</formula>
    </cfRule>
  </conditionalFormatting>
  <conditionalFormatting sqref="A64:E65">
    <cfRule type="expression" dxfId="45" priority="59">
      <formula>CELL("Schutz",A64)=0</formula>
    </cfRule>
  </conditionalFormatting>
  <conditionalFormatting sqref="A77:E78">
    <cfRule type="expression" dxfId="44" priority="58">
      <formula>CELL("Schutz",A77)=0</formula>
    </cfRule>
  </conditionalFormatting>
  <conditionalFormatting sqref="A91:E92">
    <cfRule type="expression" dxfId="43" priority="57">
      <formula>CELL("Schutz",A91)=0</formula>
    </cfRule>
  </conditionalFormatting>
  <conditionalFormatting sqref="A105:E106">
    <cfRule type="expression" dxfId="42" priority="56">
      <formula>CELL("Schutz",A105)=0</formula>
    </cfRule>
  </conditionalFormatting>
  <conditionalFormatting sqref="A3:F3 A5:F7 A8:A10 C8:F10 A15:K16 B17:B19 C17:K22 A17:A23 C23 E23 H23:K23 A27:K29 B30:B32 C30:K35 A30:A36 C36 E36 H36:K36">
    <cfRule type="expression" dxfId="41" priority="133">
      <formula>CELL("Schutz",A3)=0</formula>
    </cfRule>
  </conditionalFormatting>
  <conditionalFormatting sqref="A24:F25">
    <cfRule type="expression" dxfId="40" priority="62">
      <formula>CELL("Schutz",A24)=0</formula>
    </cfRule>
  </conditionalFormatting>
  <conditionalFormatting sqref="A37:F38">
    <cfRule type="expression" dxfId="39" priority="61">
      <formula>CELL("Schutz",A37)=0</formula>
    </cfRule>
  </conditionalFormatting>
  <conditionalFormatting sqref="A1:K2 A4:K4 H5:K10 I11 A14:B14 D14:K14 A26:B26 D26:K26 A39:B39 D39:K39 A40:K42 A43:F43 H43:K46 C44:F46 A44:A49 C47:K48 C49 E49 H49:K49 A52:B52 D52:K52 A53:K57 C58:K62 A58:A63 C63 E63 H63:K63 A66:B66 D66:K66 A67:K70 C71:K73 A71:A76 C74:F74 H74:K74 C75:K75 C76 E76 H76:K76 A79:B79 D79:K79 A80:K82 A83:E83 F83:K88 C84:E88 A84:A90 C89:K89 C90 E90 H90:K90 A93:B93 D93:K93 A94:K96 C97:K103 A97:A104 C104 E104 H104:K104 A107:B107 D107:K107 A108:K108 A109:F109 J109:K109 A110:G110 A111:K111">
    <cfRule type="expression" dxfId="38" priority="175">
      <formula>CELL("Schutz",A1)=0</formula>
    </cfRule>
  </conditionalFormatting>
  <conditionalFormatting sqref="B8:B11 A11 J11:K13 A12:H12 A13:F13 H13">
    <cfRule type="expression" dxfId="37" priority="129">
      <formula>CELL("Schutz",A8)=0</formula>
    </cfRule>
  </conditionalFormatting>
  <conditionalFormatting sqref="B20:B23">
    <cfRule type="expression" dxfId="36" priority="97">
      <formula>CELL("Schutz",B20)=0</formula>
    </cfRule>
  </conditionalFormatting>
  <conditionalFormatting sqref="B33:B36">
    <cfRule type="expression" dxfId="35" priority="96">
      <formula>CELL("Schutz",B33)=0</formula>
    </cfRule>
  </conditionalFormatting>
  <conditionalFormatting sqref="B44:B45">
    <cfRule type="expression" dxfId="34" priority="98">
      <formula>CELL("Schutz",B44)=0</formula>
    </cfRule>
  </conditionalFormatting>
  <conditionalFormatting sqref="B46:B49">
    <cfRule type="expression" dxfId="33" priority="93">
      <formula>CELL("Schutz",B46)=0</formula>
    </cfRule>
  </conditionalFormatting>
  <conditionalFormatting sqref="B58:B59">
    <cfRule type="expression" dxfId="32" priority="92">
      <formula>CELL("Schutz",B58)=0</formula>
    </cfRule>
  </conditionalFormatting>
  <conditionalFormatting sqref="B60:B63">
    <cfRule type="expression" dxfId="31" priority="89">
      <formula>CELL("Schutz",B60)=0</formula>
    </cfRule>
  </conditionalFormatting>
  <conditionalFormatting sqref="B71:B72">
    <cfRule type="expression" dxfId="30" priority="88">
      <formula>CELL("Schutz",B71)=0</formula>
    </cfRule>
  </conditionalFormatting>
  <conditionalFormatting sqref="B73:B76">
    <cfRule type="expression" dxfId="29" priority="85">
      <formula>CELL("Schutz",B73)=0</formula>
    </cfRule>
  </conditionalFormatting>
  <conditionalFormatting sqref="B84:B86">
    <cfRule type="expression" dxfId="28" priority="84">
      <formula>CELL("Schutz",B84)=0</formula>
    </cfRule>
  </conditionalFormatting>
  <conditionalFormatting sqref="B87:B90">
    <cfRule type="expression" dxfId="27" priority="81">
      <formula>CELL("Schutz",B87)=0</formula>
    </cfRule>
  </conditionalFormatting>
  <conditionalFormatting sqref="B97:B100">
    <cfRule type="expression" dxfId="26" priority="80">
      <formula>CELL("Schutz",B97)=0</formula>
    </cfRule>
  </conditionalFormatting>
  <conditionalFormatting sqref="B101:B104">
    <cfRule type="expression" dxfId="25" priority="77">
      <formula>CELL("Schutz",B101)=0</formula>
    </cfRule>
  </conditionalFormatting>
  <conditionalFormatting sqref="C14">
    <cfRule type="expression" dxfId="24" priority="131">
      <formula>CELL("Schutz",C14)=0</formula>
    </cfRule>
  </conditionalFormatting>
  <conditionalFormatting sqref="C26 C39 C52 C66 C79 C93 C107">
    <cfRule type="expression" dxfId="23" priority="130">
      <formula>CELL("Schutz",C26)=0</formula>
    </cfRule>
  </conditionalFormatting>
  <conditionalFormatting sqref="D23 D36 D49 D63 D76 D90 D104">
    <cfRule type="expression" dxfId="22" priority="1">
      <formula>CELL("Schutz",D23)=0</formula>
    </cfRule>
  </conditionalFormatting>
  <conditionalFormatting sqref="D11:F11">
    <cfRule type="expression" dxfId="21" priority="2">
      <formula>CELL("Schutz",D11)=0</formula>
    </cfRule>
  </conditionalFormatting>
  <conditionalFormatting sqref="F23">
    <cfRule type="expression" dxfId="20" priority="51">
      <formula>CELL("Schutz",F23)=0</formula>
    </cfRule>
  </conditionalFormatting>
  <conditionalFormatting sqref="F36">
    <cfRule type="expression" dxfId="19" priority="43">
      <formula>CELL("Schutz",F36)=0</formula>
    </cfRule>
  </conditionalFormatting>
  <conditionalFormatting sqref="F49:G51">
    <cfRule type="expression" dxfId="18" priority="32">
      <formula>CELL("Schutz",F49)=0</formula>
    </cfRule>
  </conditionalFormatting>
  <conditionalFormatting sqref="F63:G65">
    <cfRule type="expression" dxfId="17" priority="25">
      <formula>CELL("Schutz",F63)=0</formula>
    </cfRule>
  </conditionalFormatting>
  <conditionalFormatting sqref="F76:G78">
    <cfRule type="expression" dxfId="16" priority="18">
      <formula>CELL("Schutz",F76)=0</formula>
    </cfRule>
  </conditionalFormatting>
  <conditionalFormatting sqref="F90:G92">
    <cfRule type="expression" dxfId="15" priority="11">
      <formula>CELL("Schutz",F90)=0</formula>
    </cfRule>
  </conditionalFormatting>
  <conditionalFormatting sqref="F104:G106">
    <cfRule type="expression" dxfId="14" priority="4">
      <formula>CELL("Schutz",F104)=0</formula>
    </cfRule>
  </conditionalFormatting>
  <conditionalFormatting sqref="G3">
    <cfRule type="expression" dxfId="13" priority="169">
      <formula>CELL("Schutz",G3)=0</formula>
    </cfRule>
  </conditionalFormatting>
  <conditionalFormatting sqref="G5:G13">
    <cfRule type="expression" dxfId="12" priority="52">
      <formula>CELL("Schutz",G5)=0</formula>
    </cfRule>
  </conditionalFormatting>
  <conditionalFormatting sqref="G23:G25">
    <cfRule type="expression" dxfId="11" priority="46">
      <formula>CELL("Schutz",G23)=0</formula>
    </cfRule>
  </conditionalFormatting>
  <conditionalFormatting sqref="G36:G38">
    <cfRule type="expression" dxfId="10" priority="39">
      <formula>CELL("Schutz",G36)=0</formula>
    </cfRule>
  </conditionalFormatting>
  <conditionalFormatting sqref="G43:G46">
    <cfRule type="expression" dxfId="9" priority="151">
      <formula>CELL("Schutz",G43)=0</formula>
    </cfRule>
  </conditionalFormatting>
  <conditionalFormatting sqref="G74">
    <cfRule type="expression" dxfId="8" priority="141">
      <formula>CELL("Schutz",G74)=0</formula>
    </cfRule>
  </conditionalFormatting>
  <conditionalFormatting sqref="H24:K25">
    <cfRule type="expression" dxfId="7" priority="44">
      <formula>CELL("Schutz",H24)=0</formula>
    </cfRule>
  </conditionalFormatting>
  <conditionalFormatting sqref="H37:K38">
    <cfRule type="expression" dxfId="6" priority="38">
      <formula>CELL("Schutz",H37)=0</formula>
    </cfRule>
  </conditionalFormatting>
  <conditionalFormatting sqref="H50:K51">
    <cfRule type="expression" dxfId="5" priority="31">
      <formula>CELL("Schutz",H50)=0</formula>
    </cfRule>
  </conditionalFormatting>
  <conditionalFormatting sqref="H64:K65">
    <cfRule type="expression" dxfId="4" priority="24">
      <formula>CELL("Schutz",H64)=0</formula>
    </cfRule>
  </conditionalFormatting>
  <conditionalFormatting sqref="H77:K78">
    <cfRule type="expression" dxfId="3" priority="17">
      <formula>CELL("Schutz",H77)=0</formula>
    </cfRule>
  </conditionalFormatting>
  <conditionalFormatting sqref="H91:K92">
    <cfRule type="expression" dxfId="2" priority="10">
      <formula>CELL("Schutz",H91)=0</formula>
    </cfRule>
  </conditionalFormatting>
  <conditionalFormatting sqref="H105:K106">
    <cfRule type="expression" dxfId="1" priority="3">
      <formula>CELL("Schutz",H105)=0</formula>
    </cfRule>
  </conditionalFormatting>
  <conditionalFormatting sqref="I12:I13">
    <cfRule type="expression" dxfId="0" priority="45">
      <formula>CELL("Schutz",I12)=0</formula>
    </cfRule>
  </conditionalFormatting>
  <dataValidations count="1">
    <dataValidation type="custom" errorStyle="warning" allowBlank="1" showInputMessage="1" showErrorMessage="1" error="Nur zwei Nachkommastellen zulässig!" sqref="H4:H10 H12:H106" xr:uid="{4E7D563E-0172-4E3E-9782-D3A0C5FF9355}">
      <formula1>MOD(H4*(10^2),1)&lt;(10^-10)</formula1>
    </dataValidation>
  </dataValidations>
  <pageMargins left="0.70866141732283472" right="0.70866141732283472" top="0.78740157480314965" bottom="0.78740157480314965" header="0.31496062992125984" footer="0.31496062992125984"/>
  <pageSetup paperSize="9" scale="60" firstPageNumber="7" fitToHeight="0" orientation="landscape" useFirstPageNumber="1" r:id="rId1"/>
  <headerFooter scaleWithDoc="0">
    <oddHeader>&amp;L&amp;"Arial,Fett"&amp;10Bieterangaben Robustheit Tunnel Kauerndorf
Unterlage &amp;A&amp;R&amp;9.....................................................
Bieter</oddHeader>
    <oddFooter>&amp;R&amp;P von &amp;N</oddFooter>
    <firstFooter>&amp;R&amp;P</firstFooter>
  </headerFooter>
  <rowBreaks count="2" manualBreakCount="2">
    <brk id="40" max="11" man="1"/>
    <brk id="8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922EB-719C-41F1-A655-DDED50036F91}">
  <sheetPr>
    <tabColor theme="6"/>
    <pageSetUpPr fitToPage="1"/>
  </sheetPr>
  <dimension ref="A2:N16"/>
  <sheetViews>
    <sheetView view="pageBreakPreview" zoomScaleNormal="100" zoomScaleSheetLayoutView="100" workbookViewId="0">
      <selection activeCell="N4" sqref="N4:N19"/>
    </sheetView>
  </sheetViews>
  <sheetFormatPr baseColWidth="10" defaultRowHeight="14.25"/>
  <cols>
    <col min="2" max="2" width="12.25" customWidth="1"/>
    <col min="4" max="4" width="7.875" style="121" customWidth="1"/>
    <col min="6" max="6" width="14.75" customWidth="1"/>
    <col min="8" max="8" width="11" style="121"/>
    <col min="10" max="11" width="11" style="121"/>
    <col min="13" max="13" width="2.375" customWidth="1"/>
    <col min="14" max="14" width="12.375" style="121" bestFit="1" customWidth="1"/>
  </cols>
  <sheetData>
    <row r="2" spans="1:14">
      <c r="A2" s="124"/>
      <c r="B2" s="125"/>
      <c r="C2" s="125"/>
      <c r="D2" s="126"/>
      <c r="E2" s="162"/>
      <c r="F2" s="8"/>
      <c r="G2" s="123"/>
      <c r="H2" s="176"/>
      <c r="I2" s="162"/>
      <c r="J2" s="269" t="s">
        <v>211</v>
      </c>
      <c r="K2" s="270"/>
      <c r="L2" s="271"/>
    </row>
    <row r="3" spans="1:14" s="175" customFormat="1" ht="15">
      <c r="A3" s="207" t="s">
        <v>136</v>
      </c>
      <c r="B3" s="208" t="s">
        <v>195</v>
      </c>
      <c r="C3" s="208" t="s">
        <v>138</v>
      </c>
      <c r="D3" s="208" t="s">
        <v>128</v>
      </c>
      <c r="E3" s="209" t="s">
        <v>193</v>
      </c>
      <c r="F3" s="207" t="s">
        <v>194</v>
      </c>
      <c r="G3" s="208" t="s">
        <v>138</v>
      </c>
      <c r="H3" s="208" t="s">
        <v>128</v>
      </c>
      <c r="I3" s="209" t="s">
        <v>193</v>
      </c>
      <c r="J3" s="208" t="s">
        <v>210</v>
      </c>
      <c r="K3" s="208" t="s">
        <v>209</v>
      </c>
      <c r="L3" s="209" t="s">
        <v>135</v>
      </c>
    </row>
    <row r="4" spans="1:14" s="168" customFormat="1" ht="25.5">
      <c r="A4" s="165" t="s">
        <v>145</v>
      </c>
      <c r="B4" s="169" t="s">
        <v>184</v>
      </c>
      <c r="C4" s="170">
        <v>89</v>
      </c>
      <c r="D4" s="171" t="s">
        <v>6</v>
      </c>
      <c r="E4" s="172">
        <f>'1.3-12 Kalotte HR Kosten'!I17</f>
        <v>137.20999999999998</v>
      </c>
      <c r="F4" s="173" t="s">
        <v>176</v>
      </c>
      <c r="G4" s="167">
        <v>89</v>
      </c>
      <c r="H4" s="177" t="s">
        <v>6</v>
      </c>
      <c r="I4" s="179">
        <f>'1.3-13 Str_So HR Kosten'!I14</f>
        <v>79.290000000000006</v>
      </c>
      <c r="J4" s="193">
        <v>1</v>
      </c>
      <c r="K4" s="193">
        <v>1</v>
      </c>
      <c r="L4" s="172">
        <f>E4*J4+I4*K4</f>
        <v>216.5</v>
      </c>
      <c r="N4" s="192"/>
    </row>
    <row r="5" spans="1:14" s="168" customFormat="1" ht="25.5">
      <c r="A5" s="165" t="s">
        <v>146</v>
      </c>
      <c r="B5" s="169" t="s">
        <v>185</v>
      </c>
      <c r="C5" s="170">
        <v>215.6</v>
      </c>
      <c r="D5" s="171" t="s">
        <v>6</v>
      </c>
      <c r="E5" s="172">
        <f>'1.3-12 Kalotte HR Kosten'!I32</f>
        <v>778.36</v>
      </c>
      <c r="F5" s="173" t="s">
        <v>177</v>
      </c>
      <c r="G5" s="194">
        <v>188.5</v>
      </c>
      <c r="H5" s="177" t="s">
        <v>6</v>
      </c>
      <c r="I5" s="179">
        <f>'1.3-13 Str_So HR Kosten'!I26</f>
        <v>83.94</v>
      </c>
      <c r="J5" s="193">
        <v>1</v>
      </c>
      <c r="K5" s="193">
        <f>G5/C5</f>
        <v>0.87430426716141008</v>
      </c>
      <c r="L5" s="268">
        <f>E5*J5+I5*K5+E6*J6+I6*K6</f>
        <v>865.88484230055656</v>
      </c>
      <c r="N5" s="272"/>
    </row>
    <row r="6" spans="1:14" s="168" customFormat="1" ht="25.5">
      <c r="A6" s="165" t="s">
        <v>146</v>
      </c>
      <c r="B6" s="169" t="s">
        <v>186</v>
      </c>
      <c r="C6" s="170">
        <v>27.1</v>
      </c>
      <c r="D6" s="171" t="s">
        <v>6</v>
      </c>
      <c r="E6" s="172">
        <f>'1.3-12 Kalotte HR Kosten'!I43</f>
        <v>29.990000000000006</v>
      </c>
      <c r="F6" s="173" t="s">
        <v>178</v>
      </c>
      <c r="G6" s="167">
        <v>27.1</v>
      </c>
      <c r="H6" s="177" t="s">
        <v>6</v>
      </c>
      <c r="I6" s="179">
        <f>'1.3-13 Str_So HR Kosten'!I39</f>
        <v>82.469999999999985</v>
      </c>
      <c r="J6" s="193">
        <f>C6/C5</f>
        <v>0.12569573283858998</v>
      </c>
      <c r="K6" s="193">
        <f>G6/C5</f>
        <v>0.12569573283858998</v>
      </c>
      <c r="L6" s="268"/>
      <c r="N6" s="273"/>
    </row>
    <row r="7" spans="1:14" s="168" customFormat="1" ht="25.5">
      <c r="A7" s="165" t="s">
        <v>147</v>
      </c>
      <c r="B7" s="169" t="s">
        <v>187</v>
      </c>
      <c r="C7" s="170">
        <v>126.3</v>
      </c>
      <c r="D7" s="171" t="s">
        <v>6</v>
      </c>
      <c r="E7" s="172">
        <f>'1.3-12 Kalotte HR Kosten'!I62</f>
        <v>167.52999999999994</v>
      </c>
      <c r="F7" s="173" t="s">
        <v>179</v>
      </c>
      <c r="G7" s="194">
        <v>74.900000000000006</v>
      </c>
      <c r="H7" s="177" t="s">
        <v>6</v>
      </c>
      <c r="I7" s="179">
        <f>'1.3-13 Str_So HR Kosten'!I52</f>
        <v>85.740000000000009</v>
      </c>
      <c r="J7" s="193">
        <v>1</v>
      </c>
      <c r="K7" s="193">
        <f>G7/C7</f>
        <v>0.59303246239113228</v>
      </c>
      <c r="L7" s="268">
        <f t="shared" ref="L7:L9" si="0">E7*J7+I7*K7</f>
        <v>218.37660332541563</v>
      </c>
      <c r="N7" s="267"/>
    </row>
    <row r="8" spans="1:14" s="168" customFormat="1" ht="25.5">
      <c r="A8" s="165" t="s">
        <v>147</v>
      </c>
      <c r="B8" s="169" t="s">
        <v>188</v>
      </c>
      <c r="C8" s="170">
        <v>51.4</v>
      </c>
      <c r="D8" s="171" t="s">
        <v>6</v>
      </c>
      <c r="E8" s="172">
        <f>'1.3-12 Kalotte HR Kosten'!I73</f>
        <v>31.03</v>
      </c>
      <c r="F8" s="173" t="s">
        <v>180</v>
      </c>
      <c r="G8" s="167">
        <v>51.4</v>
      </c>
      <c r="H8" s="177" t="s">
        <v>6</v>
      </c>
      <c r="I8" s="179">
        <f>'1.3-13 Str_So HR Kosten'!I66</f>
        <v>83.51</v>
      </c>
      <c r="J8" s="193">
        <f>C8/C7</f>
        <v>0.40696753760886778</v>
      </c>
      <c r="K8" s="193">
        <f>G8/C7</f>
        <v>0.40696753760886778</v>
      </c>
      <c r="L8" s="268"/>
      <c r="N8" s="267"/>
    </row>
    <row r="9" spans="1:14" s="168" customFormat="1" ht="25.5">
      <c r="A9" s="165" t="s">
        <v>148</v>
      </c>
      <c r="B9" s="169" t="s">
        <v>189</v>
      </c>
      <c r="C9" s="170">
        <v>78</v>
      </c>
      <c r="D9" s="171" t="s">
        <v>6</v>
      </c>
      <c r="E9" s="172">
        <f>'1.3-12 Kalotte HR Kosten'!I91</f>
        <v>196.95999999999998</v>
      </c>
      <c r="F9" s="173" t="s">
        <v>181</v>
      </c>
      <c r="G9" s="194">
        <v>22.200000000000003</v>
      </c>
      <c r="H9" s="177" t="s">
        <v>6</v>
      </c>
      <c r="I9" s="179">
        <f>'1.3-13 Str_So HR Kosten'!I79</f>
        <v>91.82</v>
      </c>
      <c r="J9" s="193">
        <v>1</v>
      </c>
      <c r="K9" s="193">
        <f>G9/C9</f>
        <v>0.28461538461538466</v>
      </c>
      <c r="L9" s="268">
        <f t="shared" si="0"/>
        <v>223.09338461538459</v>
      </c>
      <c r="N9" s="267"/>
    </row>
    <row r="10" spans="1:14" s="168" customFormat="1" ht="25.5">
      <c r="A10" s="165" t="s">
        <v>148</v>
      </c>
      <c r="B10" s="169" t="s">
        <v>190</v>
      </c>
      <c r="C10" s="170">
        <v>55.8</v>
      </c>
      <c r="D10" s="171" t="s">
        <v>6</v>
      </c>
      <c r="E10" s="172">
        <f>'1.3-12 Kalotte HR Kosten'!I102</f>
        <v>32.24</v>
      </c>
      <c r="F10" s="173" t="s">
        <v>182</v>
      </c>
      <c r="G10" s="167">
        <v>55.8</v>
      </c>
      <c r="H10" s="177" t="s">
        <v>6</v>
      </c>
      <c r="I10" s="179">
        <f>'1.3-13 Str_So HR Kosten'!I93</f>
        <v>88.37</v>
      </c>
      <c r="J10" s="193">
        <f>C10/C9</f>
        <v>0.7153846153846154</v>
      </c>
      <c r="K10" s="193">
        <f>G10/C9</f>
        <v>0.7153846153846154</v>
      </c>
      <c r="L10" s="268"/>
      <c r="N10" s="274"/>
    </row>
    <row r="11" spans="1:14" s="168" customFormat="1" ht="25.5">
      <c r="A11" s="165" t="s">
        <v>149</v>
      </c>
      <c r="B11" s="169" t="s">
        <v>191</v>
      </c>
      <c r="C11" s="170">
        <v>110.2</v>
      </c>
      <c r="D11" s="171" t="s">
        <v>6</v>
      </c>
      <c r="E11" s="172">
        <f>'1.3-12 Kalotte HR Kosten'!I120</f>
        <v>229.6</v>
      </c>
      <c r="F11" s="173" t="s">
        <v>183</v>
      </c>
      <c r="G11" s="167">
        <v>110.2</v>
      </c>
      <c r="H11" s="177" t="s">
        <v>6</v>
      </c>
      <c r="I11" s="179">
        <f>'1.3-13 Str_So HR Kosten'!I107</f>
        <v>91.06</v>
      </c>
      <c r="J11" s="193">
        <v>1</v>
      </c>
      <c r="K11" s="193">
        <v>1</v>
      </c>
      <c r="L11" s="268">
        <f>E11*J11+I11*K11+E12*J12</f>
        <v>353.71999999999997</v>
      </c>
      <c r="N11" s="267"/>
    </row>
    <row r="12" spans="1:14" s="168" customFormat="1" ht="25.5">
      <c r="A12" s="165" t="s">
        <v>149</v>
      </c>
      <c r="B12" s="169" t="s">
        <v>192</v>
      </c>
      <c r="C12" s="170">
        <v>110.2</v>
      </c>
      <c r="D12" s="171" t="s">
        <v>6</v>
      </c>
      <c r="E12" s="172">
        <f>'1.3-12 Kalotte HR Kosten'!I132</f>
        <v>33.06</v>
      </c>
      <c r="F12" s="166"/>
      <c r="G12" s="167"/>
      <c r="H12" s="177"/>
      <c r="I12" s="180"/>
      <c r="J12" s="193">
        <v>1</v>
      </c>
      <c r="K12" s="193"/>
      <c r="L12" s="268"/>
      <c r="N12" s="267"/>
    </row>
    <row r="13" spans="1:14">
      <c r="A13" s="143"/>
      <c r="B13" s="144"/>
      <c r="C13" s="145">
        <f>C4+C5+C7+C9+C11</f>
        <v>619.1</v>
      </c>
      <c r="D13" s="146" t="s">
        <v>6</v>
      </c>
      <c r="E13" s="164"/>
      <c r="F13" s="143"/>
      <c r="G13" s="145">
        <f>SUM(G4:G12)</f>
        <v>619.1</v>
      </c>
      <c r="H13" s="178" t="s">
        <v>6</v>
      </c>
      <c r="I13" s="174"/>
      <c r="J13" s="146"/>
      <c r="K13" s="146"/>
      <c r="L13" s="164"/>
    </row>
    <row r="14" spans="1:14">
      <c r="A14" s="133"/>
      <c r="B14" s="133"/>
      <c r="C14" s="133"/>
      <c r="D14" s="135"/>
    </row>
    <row r="15" spans="1:14" ht="14.25" customHeight="1">
      <c r="A15" s="242" t="s">
        <v>242</v>
      </c>
      <c r="B15" s="266" t="s">
        <v>243</v>
      </c>
      <c r="C15" s="266"/>
      <c r="D15" s="266"/>
      <c r="E15" s="266"/>
      <c r="F15" s="266"/>
      <c r="G15" s="266"/>
      <c r="H15" s="266"/>
      <c r="I15" s="266"/>
      <c r="J15" s="266"/>
      <c r="K15" s="266"/>
      <c r="L15" s="266"/>
    </row>
    <row r="16" spans="1:14">
      <c r="N16" s="239"/>
    </row>
  </sheetData>
  <sheetProtection algorithmName="SHA-512" hashValue="admWu3DATaWn0YbwXkGjxqJ0RlQ0z0Kj3aIwrUFq28JT8X1u54/YixalkmwjIv5kG67goJBMBSZp8XUkGgtBsw==" saltValue="c1lGDnOoL1iEnqxawQR2Eg==" spinCount="100000" sheet="1" objects="1" scenarios="1" selectLockedCells="1" selectUnlockedCells="1"/>
  <mergeCells count="10">
    <mergeCell ref="B15:L15"/>
    <mergeCell ref="N11:N12"/>
    <mergeCell ref="L11:L12"/>
    <mergeCell ref="L5:L6"/>
    <mergeCell ref="J2:L2"/>
    <mergeCell ref="L7:L8"/>
    <mergeCell ref="L9:L10"/>
    <mergeCell ref="N5:N6"/>
    <mergeCell ref="N7:N8"/>
    <mergeCell ref="N9:N10"/>
  </mergeCells>
  <pageMargins left="0.70866141732283472" right="0.70866141732283472" top="0.78740157480314965" bottom="0.78740157480314965" header="0.31496062992125984" footer="0.31496062992125984"/>
  <pageSetup paperSize="9" scale="88" firstPageNumber="10" fitToHeight="0" orientation="landscape" useFirstPageNumber="1" r:id="rId1"/>
  <headerFooter scaleWithDoc="0">
    <oddHeader>&amp;L&amp;"Arial,Fett"&amp;10Bieterangaben Robustheit Tunnel Kauerndorf
Unterlage &amp;A&amp;R&amp;9.....................................................
Bieter</oddHeader>
    <oddFooter>&amp;R&amp;P von &amp;N</oddFooter>
    <firstFooter>&amp;R&amp;P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D990-E79D-4A07-B482-8C2EB69B6B30}">
  <sheetPr>
    <tabColor theme="6"/>
    <pageSetUpPr fitToPage="1"/>
  </sheetPr>
  <dimension ref="A2:L51"/>
  <sheetViews>
    <sheetView view="pageBreakPreview" topLeftCell="A18" zoomScaleNormal="100" zoomScaleSheetLayoutView="100" workbookViewId="0">
      <selection activeCell="A13" sqref="A13:F13"/>
    </sheetView>
  </sheetViews>
  <sheetFormatPr baseColWidth="10" defaultRowHeight="14.25"/>
  <cols>
    <col min="2" max="2" width="12.25" bestFit="1" customWidth="1"/>
    <col min="4" max="4" width="7.875" style="121" customWidth="1"/>
    <col min="7" max="7" width="13.625" style="17" customWidth="1"/>
    <col min="8" max="8" width="15.5" style="17" customWidth="1"/>
    <col min="9" max="9" width="2.25" customWidth="1"/>
  </cols>
  <sheetData>
    <row r="2" spans="1:12">
      <c r="A2" s="124"/>
      <c r="B2" s="125"/>
      <c r="C2" s="125"/>
      <c r="D2" s="126"/>
      <c r="E2" s="275" t="s">
        <v>139</v>
      </c>
      <c r="F2" s="276"/>
      <c r="G2" s="276"/>
      <c r="H2" s="277"/>
    </row>
    <row r="3" spans="1:12" s="122" customFormat="1" ht="15">
      <c r="A3" s="127" t="s">
        <v>136</v>
      </c>
      <c r="B3" s="128" t="s">
        <v>137</v>
      </c>
      <c r="C3" s="129" t="s">
        <v>138</v>
      </c>
      <c r="D3" s="129" t="s">
        <v>128</v>
      </c>
      <c r="E3" s="130" t="s">
        <v>129</v>
      </c>
      <c r="F3" s="131" t="s">
        <v>138</v>
      </c>
      <c r="G3" s="185" t="s">
        <v>164</v>
      </c>
      <c r="H3" s="181" t="s">
        <v>165</v>
      </c>
    </row>
    <row r="4" spans="1:12">
      <c r="A4" s="132" t="s">
        <v>145</v>
      </c>
      <c r="B4" s="133" t="s">
        <v>130</v>
      </c>
      <c r="C4" s="134">
        <v>89</v>
      </c>
      <c r="D4" s="135" t="s">
        <v>6</v>
      </c>
      <c r="E4" s="136" t="str">
        <f>'1.3-11 Länge Wertung'!$E$4</f>
        <v>5-fach</v>
      </c>
      <c r="F4" s="137">
        <f>'1.3-11 Länge Wertung'!F4</f>
        <v>445</v>
      </c>
      <c r="G4" s="163">
        <f>'1.3-14 Preis je lfdm'!$L$4</f>
        <v>216.5</v>
      </c>
      <c r="H4" s="182">
        <f>G4*F4</f>
        <v>96342.5</v>
      </c>
    </row>
    <row r="5" spans="1:12">
      <c r="A5" s="132" t="s">
        <v>146</v>
      </c>
      <c r="B5" s="133" t="s">
        <v>132</v>
      </c>
      <c r="C5" s="134">
        <v>215.6</v>
      </c>
      <c r="D5" s="135" t="s">
        <v>6</v>
      </c>
      <c r="E5" s="195">
        <f>'1.3-11 Länge Wertung'!$E$5</f>
        <v>0.32842859837766475</v>
      </c>
      <c r="F5" s="139">
        <f>'1.3-11 Länge Wertung'!F5</f>
        <v>70.809205810224512</v>
      </c>
      <c r="G5" s="163">
        <f>'1.3-14 Preis je lfdm'!$L$5</f>
        <v>865.88484230055656</v>
      </c>
      <c r="H5" s="182">
        <f t="shared" ref="H5:H8" si="0">G5*F5</f>
        <v>61312.618006413904</v>
      </c>
    </row>
    <row r="6" spans="1:12">
      <c r="A6" s="132" t="s">
        <v>147</v>
      </c>
      <c r="B6" s="133" t="s">
        <v>133</v>
      </c>
      <c r="C6" s="134">
        <v>126.3</v>
      </c>
      <c r="D6" s="135" t="s">
        <v>6</v>
      </c>
      <c r="E6" s="195">
        <f>'1.3-11 Länge Wertung'!$E$6</f>
        <v>0.32842859837766475</v>
      </c>
      <c r="F6" s="139">
        <f>'1.3-11 Länge Wertung'!F6</f>
        <v>41.480531975099055</v>
      </c>
      <c r="G6" s="163">
        <f>'1.3-14 Preis je lfdm'!$L$7</f>
        <v>218.37660332541563</v>
      </c>
      <c r="H6" s="182">
        <f t="shared" si="0"/>
        <v>9058.3776768534262</v>
      </c>
    </row>
    <row r="7" spans="1:12">
      <c r="A7" s="132" t="s">
        <v>148</v>
      </c>
      <c r="B7" s="133" t="s">
        <v>134</v>
      </c>
      <c r="C7" s="134">
        <v>78</v>
      </c>
      <c r="D7" s="135" t="s">
        <v>6</v>
      </c>
      <c r="E7" s="195">
        <f>'1.3-11 Länge Wertung'!$E$7</f>
        <v>0.32842859837766475</v>
      </c>
      <c r="F7" s="139">
        <f>'1.3-11 Länge Wertung'!F7</f>
        <v>25.61743067345785</v>
      </c>
      <c r="G7" s="163">
        <f>'1.3-14 Preis je lfdm'!L$9</f>
        <v>223.09338461538459</v>
      </c>
      <c r="H7" s="182">
        <f t="shared" si="0"/>
        <v>5715.079314091683</v>
      </c>
    </row>
    <row r="8" spans="1:12">
      <c r="A8" s="132" t="s">
        <v>148</v>
      </c>
      <c r="B8" s="133" t="s">
        <v>212</v>
      </c>
      <c r="C8" s="134">
        <v>110.2</v>
      </c>
      <c r="D8" s="135" t="s">
        <v>6</v>
      </c>
      <c r="E8" s="195">
        <f>'1.3-11 Länge Wertung'!$E$8</f>
        <v>0.32842859837766475</v>
      </c>
      <c r="F8" s="139">
        <f>'1.3-11 Länge Wertung'!F8</f>
        <v>36.192831541218659</v>
      </c>
      <c r="G8" s="163">
        <f>'1.3-14 Preis je lfdm'!$L$11</f>
        <v>353.71999999999997</v>
      </c>
      <c r="H8" s="182">
        <f t="shared" si="0"/>
        <v>12802.128372759864</v>
      </c>
    </row>
    <row r="9" spans="1:12">
      <c r="A9" s="143"/>
      <c r="B9" s="144" t="s">
        <v>135</v>
      </c>
      <c r="C9" s="145">
        <f>SUM(C4:C8)</f>
        <v>619.1</v>
      </c>
      <c r="D9" s="146" t="s">
        <v>6</v>
      </c>
      <c r="E9" s="147"/>
      <c r="F9" s="148">
        <f>SUM(F4:F8)</f>
        <v>619.10000000000014</v>
      </c>
      <c r="G9" s="186"/>
      <c r="H9" s="183">
        <f>SUM(H4:H8)</f>
        <v>185230.70337011886</v>
      </c>
    </row>
    <row r="10" spans="1:12">
      <c r="A10" s="133"/>
      <c r="B10" s="133"/>
      <c r="C10" s="133"/>
      <c r="D10" s="135"/>
      <c r="E10" s="133"/>
      <c r="F10" s="133"/>
      <c r="G10" s="184"/>
      <c r="H10" s="184"/>
      <c r="I10" s="133"/>
      <c r="J10" s="133"/>
      <c r="K10" s="133"/>
      <c r="L10" s="133"/>
    </row>
    <row r="11" spans="1:12">
      <c r="A11" s="124"/>
      <c r="B11" s="125"/>
      <c r="C11" s="125"/>
      <c r="D11" s="126"/>
      <c r="E11" s="275" t="s">
        <v>140</v>
      </c>
      <c r="F11" s="276"/>
      <c r="G11" s="276"/>
      <c r="H11" s="277"/>
    </row>
    <row r="12" spans="1:12" s="122" customFormat="1" ht="15">
      <c r="A12" s="127" t="s">
        <v>136</v>
      </c>
      <c r="B12" s="128" t="s">
        <v>137</v>
      </c>
      <c r="C12" s="129" t="s">
        <v>138</v>
      </c>
      <c r="D12" s="129" t="s">
        <v>128</v>
      </c>
      <c r="E12" s="130" t="s">
        <v>129</v>
      </c>
      <c r="F12" s="131" t="s">
        <v>138</v>
      </c>
      <c r="G12" s="185" t="s">
        <v>164</v>
      </c>
      <c r="H12" s="181" t="s">
        <v>165</v>
      </c>
    </row>
    <row r="13" spans="1:12">
      <c r="A13" s="132" t="s">
        <v>145</v>
      </c>
      <c r="B13" s="133" t="s">
        <v>130</v>
      </c>
      <c r="C13" s="134">
        <v>89</v>
      </c>
      <c r="D13" s="135" t="s">
        <v>6</v>
      </c>
      <c r="E13" s="195">
        <v>0</v>
      </c>
      <c r="F13" s="139">
        <f>'1.3-11 Länge Wertung'!F13</f>
        <v>0</v>
      </c>
      <c r="G13" s="163">
        <f>'1.3-14 Preis je lfdm'!$L$4</f>
        <v>216.5</v>
      </c>
      <c r="H13" s="182">
        <f>G13*F13</f>
        <v>0</v>
      </c>
    </row>
    <row r="14" spans="1:12">
      <c r="A14" s="132" t="s">
        <v>146</v>
      </c>
      <c r="B14" s="133" t="s">
        <v>132</v>
      </c>
      <c r="C14" s="134">
        <v>215.6</v>
      </c>
      <c r="D14" s="135" t="s">
        <v>6</v>
      </c>
      <c r="E14" s="136" t="s">
        <v>171</v>
      </c>
      <c r="F14" s="137">
        <v>619.1</v>
      </c>
      <c r="G14" s="163">
        <f>'1.3-14 Preis je lfdm'!$L$5</f>
        <v>865.88484230055656</v>
      </c>
      <c r="H14" s="182">
        <f t="shared" ref="H14:H17" si="1">G14*F14</f>
        <v>536069.30586827453</v>
      </c>
    </row>
    <row r="15" spans="1:12">
      <c r="A15" s="132" t="s">
        <v>147</v>
      </c>
      <c r="B15" s="133" t="s">
        <v>133</v>
      </c>
      <c r="C15" s="134">
        <v>126.3</v>
      </c>
      <c r="D15" s="135" t="s">
        <v>6</v>
      </c>
      <c r="E15" s="195">
        <v>0</v>
      </c>
      <c r="F15" s="139">
        <f>'1.3-11 Länge Wertung'!F15</f>
        <v>0</v>
      </c>
      <c r="G15" s="163">
        <f>'1.3-14 Preis je lfdm'!$L$7</f>
        <v>218.37660332541563</v>
      </c>
      <c r="H15" s="182">
        <f t="shared" si="1"/>
        <v>0</v>
      </c>
    </row>
    <row r="16" spans="1:12">
      <c r="A16" s="132" t="s">
        <v>148</v>
      </c>
      <c r="B16" s="133" t="s">
        <v>134</v>
      </c>
      <c r="C16" s="134">
        <v>78</v>
      </c>
      <c r="D16" s="135" t="s">
        <v>6</v>
      </c>
      <c r="E16" s="195">
        <v>0</v>
      </c>
      <c r="F16" s="139">
        <f>'1.3-11 Länge Wertung'!F16</f>
        <v>0</v>
      </c>
      <c r="G16" s="163">
        <f>'1.3-14 Preis je lfdm'!L$9</f>
        <v>223.09338461538459</v>
      </c>
      <c r="H16" s="182">
        <f t="shared" si="1"/>
        <v>0</v>
      </c>
    </row>
    <row r="17" spans="1:8">
      <c r="A17" s="132" t="s">
        <v>148</v>
      </c>
      <c r="B17" s="133" t="s">
        <v>212</v>
      </c>
      <c r="C17" s="134">
        <v>110.2</v>
      </c>
      <c r="D17" s="135" t="s">
        <v>6</v>
      </c>
      <c r="E17" s="195">
        <v>0</v>
      </c>
      <c r="F17" s="139">
        <f>'1.3-11 Länge Wertung'!F17</f>
        <v>0</v>
      </c>
      <c r="G17" s="163">
        <f>'1.3-14 Preis je lfdm'!$L$11</f>
        <v>353.71999999999997</v>
      </c>
      <c r="H17" s="182">
        <f t="shared" si="1"/>
        <v>0</v>
      </c>
    </row>
    <row r="18" spans="1:8">
      <c r="A18" s="143"/>
      <c r="B18" s="144" t="s">
        <v>135</v>
      </c>
      <c r="C18" s="145">
        <f>SUM(C13:C17)</f>
        <v>619.1</v>
      </c>
      <c r="D18" s="146" t="s">
        <v>6</v>
      </c>
      <c r="E18" s="199"/>
      <c r="F18" s="200">
        <f>SUM(F13:F17)</f>
        <v>619.1</v>
      </c>
      <c r="G18" s="186"/>
      <c r="H18" s="183">
        <f>SUM(H13:H17)</f>
        <v>536069.30586827453</v>
      </c>
    </row>
    <row r="20" spans="1:8">
      <c r="A20" s="124"/>
      <c r="B20" s="125"/>
      <c r="C20" s="125"/>
      <c r="D20" s="126"/>
      <c r="E20" s="275" t="s">
        <v>141</v>
      </c>
      <c r="F20" s="276"/>
      <c r="G20" s="276"/>
      <c r="H20" s="277"/>
    </row>
    <row r="21" spans="1:8" s="122" customFormat="1" ht="15">
      <c r="A21" s="127" t="s">
        <v>136</v>
      </c>
      <c r="B21" s="128" t="s">
        <v>137</v>
      </c>
      <c r="C21" s="129" t="s">
        <v>138</v>
      </c>
      <c r="D21" s="129" t="s">
        <v>128</v>
      </c>
      <c r="E21" s="130" t="s">
        <v>129</v>
      </c>
      <c r="F21" s="131" t="s">
        <v>138</v>
      </c>
      <c r="G21" s="185" t="s">
        <v>164</v>
      </c>
      <c r="H21" s="181" t="s">
        <v>165</v>
      </c>
    </row>
    <row r="22" spans="1:8">
      <c r="A22" s="132" t="s">
        <v>145</v>
      </c>
      <c r="B22" s="133" t="s">
        <v>130</v>
      </c>
      <c r="C22" s="134">
        <v>89</v>
      </c>
      <c r="D22" s="135" t="s">
        <v>6</v>
      </c>
      <c r="E22" s="195">
        <v>0</v>
      </c>
      <c r="F22" s="139">
        <v>0</v>
      </c>
      <c r="G22" s="163">
        <f>'1.3-14 Preis je lfdm'!$L$4</f>
        <v>216.5</v>
      </c>
      <c r="H22" s="182">
        <f>G22*F22</f>
        <v>0</v>
      </c>
    </row>
    <row r="23" spans="1:8">
      <c r="A23" s="132" t="s">
        <v>146</v>
      </c>
      <c r="B23" s="133" t="s">
        <v>132</v>
      </c>
      <c r="C23" s="134">
        <v>215.6</v>
      </c>
      <c r="D23" s="135" t="s">
        <v>6</v>
      </c>
      <c r="E23" s="195">
        <v>0</v>
      </c>
      <c r="F23" s="139">
        <v>0</v>
      </c>
      <c r="G23" s="163">
        <f>'1.3-14 Preis je lfdm'!$L$5</f>
        <v>865.88484230055656</v>
      </c>
      <c r="H23" s="182">
        <f t="shared" ref="H23:H26" si="2">G23*F23</f>
        <v>0</v>
      </c>
    </row>
    <row r="24" spans="1:8">
      <c r="A24" s="132" t="s">
        <v>147</v>
      </c>
      <c r="B24" s="133" t="s">
        <v>133</v>
      </c>
      <c r="C24" s="134">
        <v>126.3</v>
      </c>
      <c r="D24" s="135" t="s">
        <v>6</v>
      </c>
      <c r="E24" s="203" t="s">
        <v>171</v>
      </c>
      <c r="F24" s="137">
        <v>619.1</v>
      </c>
      <c r="G24" s="163">
        <f>'1.3-14 Preis je lfdm'!$L$7</f>
        <v>218.37660332541563</v>
      </c>
      <c r="H24" s="182">
        <f t="shared" si="2"/>
        <v>135196.95511876483</v>
      </c>
    </row>
    <row r="25" spans="1:8">
      <c r="A25" s="132" t="s">
        <v>148</v>
      </c>
      <c r="B25" s="133" t="s">
        <v>134</v>
      </c>
      <c r="C25" s="134">
        <v>78</v>
      </c>
      <c r="D25" s="135" t="s">
        <v>6</v>
      </c>
      <c r="E25" s="195">
        <v>0</v>
      </c>
      <c r="F25" s="139">
        <v>0</v>
      </c>
      <c r="G25" s="163">
        <f>'1.3-14 Preis je lfdm'!L$9</f>
        <v>223.09338461538459</v>
      </c>
      <c r="H25" s="182">
        <f t="shared" si="2"/>
        <v>0</v>
      </c>
    </row>
    <row r="26" spans="1:8">
      <c r="A26" s="132" t="s">
        <v>148</v>
      </c>
      <c r="B26" s="133" t="s">
        <v>212</v>
      </c>
      <c r="C26" s="134">
        <v>110.2</v>
      </c>
      <c r="D26" s="135" t="s">
        <v>6</v>
      </c>
      <c r="E26" s="195">
        <v>0</v>
      </c>
      <c r="F26" s="139">
        <v>0</v>
      </c>
      <c r="G26" s="163">
        <f>'1.3-14 Preis je lfdm'!$L$11</f>
        <v>353.71999999999997</v>
      </c>
      <c r="H26" s="182">
        <f t="shared" si="2"/>
        <v>0</v>
      </c>
    </row>
    <row r="27" spans="1:8">
      <c r="A27" s="143"/>
      <c r="B27" s="144" t="s">
        <v>135</v>
      </c>
      <c r="C27" s="145">
        <f>SUM(C22:C26)</f>
        <v>619.1</v>
      </c>
      <c r="D27" s="146" t="s">
        <v>6</v>
      </c>
      <c r="E27" s="199"/>
      <c r="F27" s="200">
        <f>SUM(F22:F26)</f>
        <v>619.1</v>
      </c>
      <c r="G27" s="186"/>
      <c r="H27" s="183">
        <f>SUM(H22:H26)</f>
        <v>135196.95511876483</v>
      </c>
    </row>
    <row r="28" spans="1:8">
      <c r="A28" s="133"/>
      <c r="B28" s="128"/>
      <c r="C28" s="197"/>
      <c r="D28" s="129"/>
      <c r="E28" s="201"/>
      <c r="F28" s="202"/>
      <c r="G28" s="184"/>
      <c r="H28" s="198"/>
    </row>
    <row r="29" spans="1:8">
      <c r="A29" s="133"/>
      <c r="B29" s="128"/>
      <c r="C29" s="197"/>
      <c r="D29" s="129"/>
      <c r="E29" s="201"/>
      <c r="F29" s="202"/>
      <c r="G29" s="184"/>
      <c r="H29" s="198"/>
    </row>
    <row r="30" spans="1:8">
      <c r="A30" s="124"/>
      <c r="B30" s="125"/>
      <c r="C30" s="125"/>
      <c r="D30" s="126"/>
      <c r="E30" s="275" t="s">
        <v>142</v>
      </c>
      <c r="F30" s="276"/>
      <c r="G30" s="276"/>
      <c r="H30" s="277"/>
    </row>
    <row r="31" spans="1:8" s="122" customFormat="1" ht="15">
      <c r="A31" s="127" t="s">
        <v>136</v>
      </c>
      <c r="B31" s="128" t="s">
        <v>137</v>
      </c>
      <c r="C31" s="129" t="s">
        <v>138</v>
      </c>
      <c r="D31" s="129" t="s">
        <v>128</v>
      </c>
      <c r="E31" s="130" t="s">
        <v>129</v>
      </c>
      <c r="F31" s="131" t="s">
        <v>138</v>
      </c>
      <c r="G31" s="185" t="s">
        <v>164</v>
      </c>
      <c r="H31" s="181" t="s">
        <v>165</v>
      </c>
    </row>
    <row r="32" spans="1:8">
      <c r="A32" s="132" t="s">
        <v>145</v>
      </c>
      <c r="B32" s="133" t="s">
        <v>130</v>
      </c>
      <c r="C32" s="134">
        <v>89</v>
      </c>
      <c r="D32" s="135" t="s">
        <v>6</v>
      </c>
      <c r="E32" s="195">
        <v>0.42339678432822042</v>
      </c>
      <c r="F32" s="139">
        <v>37.682313805211621</v>
      </c>
      <c r="G32" s="163">
        <f>'1.3-14 Preis je lfdm'!$L$4</f>
        <v>216.5</v>
      </c>
      <c r="H32" s="182">
        <f>G32*F32</f>
        <v>8158.2209388283163</v>
      </c>
    </row>
    <row r="33" spans="1:8">
      <c r="A33" s="132" t="s">
        <v>146</v>
      </c>
      <c r="B33" s="133" t="s">
        <v>132</v>
      </c>
      <c r="C33" s="134">
        <v>215.6</v>
      </c>
      <c r="D33" s="135" t="s">
        <v>6</v>
      </c>
      <c r="E33" s="195">
        <v>0.42339678432822042</v>
      </c>
      <c r="F33" s="139">
        <v>91.284346701164324</v>
      </c>
      <c r="G33" s="163">
        <f>'1.3-14 Preis je lfdm'!$L$5</f>
        <v>865.88484230055656</v>
      </c>
      <c r="H33" s="182">
        <f t="shared" ref="H33:H36" si="3">G33*F33</f>
        <v>79041.732147846997</v>
      </c>
    </row>
    <row r="34" spans="1:8">
      <c r="A34" s="132" t="s">
        <v>147</v>
      </c>
      <c r="B34" s="133" t="s">
        <v>133</v>
      </c>
      <c r="C34" s="134">
        <v>126.3</v>
      </c>
      <c r="D34" s="135" t="s">
        <v>6</v>
      </c>
      <c r="E34" s="195">
        <v>0.42339678432822042</v>
      </c>
      <c r="F34" s="139">
        <v>53.475013860654236</v>
      </c>
      <c r="G34" s="163">
        <f>'1.3-14 Preis je lfdm'!$L$7</f>
        <v>218.37660332541563</v>
      </c>
      <c r="H34" s="182">
        <f t="shared" si="3"/>
        <v>11677.691889669193</v>
      </c>
    </row>
    <row r="35" spans="1:8">
      <c r="A35" s="132" t="s">
        <v>148</v>
      </c>
      <c r="B35" s="133" t="s">
        <v>134</v>
      </c>
      <c r="C35" s="134">
        <v>78</v>
      </c>
      <c r="D35" s="135" t="s">
        <v>6</v>
      </c>
      <c r="E35" s="203" t="s">
        <v>131</v>
      </c>
      <c r="F35" s="137">
        <v>390</v>
      </c>
      <c r="G35" s="163">
        <f>'1.3-14 Preis je lfdm'!L$9</f>
        <v>223.09338461538459</v>
      </c>
      <c r="H35" s="182">
        <f t="shared" si="3"/>
        <v>87006.42</v>
      </c>
    </row>
    <row r="36" spans="1:8">
      <c r="A36" s="132" t="s">
        <v>148</v>
      </c>
      <c r="B36" s="133" t="s">
        <v>212</v>
      </c>
      <c r="C36" s="134">
        <v>110.2</v>
      </c>
      <c r="D36" s="135" t="s">
        <v>6</v>
      </c>
      <c r="E36" s="195">
        <v>0.42339678432822042</v>
      </c>
      <c r="F36" s="139">
        <v>46.658325632969891</v>
      </c>
      <c r="G36" s="163">
        <f>'1.3-14 Preis je lfdm'!$L$11</f>
        <v>353.71999999999997</v>
      </c>
      <c r="H36" s="182">
        <f t="shared" si="3"/>
        <v>16503.982942894108</v>
      </c>
    </row>
    <row r="37" spans="1:8">
      <c r="A37" s="143"/>
      <c r="B37" s="144" t="s">
        <v>135</v>
      </c>
      <c r="C37" s="145">
        <f>SUM(C32:C36)</f>
        <v>619.1</v>
      </c>
      <c r="D37" s="146" t="s">
        <v>6</v>
      </c>
      <c r="E37" s="199"/>
      <c r="F37" s="200">
        <f>SUM(F32:F36)</f>
        <v>619.1</v>
      </c>
      <c r="G37" s="186"/>
      <c r="H37" s="183">
        <f>SUM(H32:H36)</f>
        <v>202388.04791923863</v>
      </c>
    </row>
    <row r="38" spans="1:8">
      <c r="A38" s="133"/>
      <c r="B38" s="128"/>
      <c r="C38" s="197"/>
      <c r="D38" s="129"/>
      <c r="E38" s="201"/>
      <c r="F38" s="202"/>
      <c r="G38" s="184"/>
      <c r="H38" s="198"/>
    </row>
    <row r="39" spans="1:8">
      <c r="A39" s="124"/>
      <c r="B39" s="125"/>
      <c r="C39" s="125"/>
      <c r="D39" s="126"/>
      <c r="E39" s="275" t="s">
        <v>143</v>
      </c>
      <c r="F39" s="276"/>
      <c r="G39" s="276"/>
      <c r="H39" s="277"/>
    </row>
    <row r="40" spans="1:8" s="122" customFormat="1" ht="15">
      <c r="A40" s="127" t="s">
        <v>136</v>
      </c>
      <c r="B40" s="128" t="s">
        <v>137</v>
      </c>
      <c r="C40" s="129" t="s">
        <v>138</v>
      </c>
      <c r="D40" s="129" t="s">
        <v>128</v>
      </c>
      <c r="E40" s="130" t="s">
        <v>129</v>
      </c>
      <c r="F40" s="131" t="s">
        <v>138</v>
      </c>
      <c r="G40" s="185" t="s">
        <v>164</v>
      </c>
      <c r="H40" s="181" t="s">
        <v>165</v>
      </c>
    </row>
    <row r="41" spans="1:8">
      <c r="A41" s="132" t="s">
        <v>145</v>
      </c>
      <c r="B41" s="133" t="s">
        <v>130</v>
      </c>
      <c r="C41" s="134">
        <v>89</v>
      </c>
      <c r="D41" s="135" t="s">
        <v>6</v>
      </c>
      <c r="E41" s="195">
        <v>0.1338180389074474</v>
      </c>
      <c r="F41" s="139">
        <v>11.909805462762819</v>
      </c>
      <c r="G41" s="163">
        <f>'1.3-14 Preis je lfdm'!$L$4</f>
        <v>216.5</v>
      </c>
      <c r="H41" s="182">
        <f>G41*F41</f>
        <v>2578.4728826881501</v>
      </c>
    </row>
    <row r="42" spans="1:8">
      <c r="A42" s="132" t="s">
        <v>146</v>
      </c>
      <c r="B42" s="133" t="s">
        <v>132</v>
      </c>
      <c r="C42" s="134">
        <v>215.6</v>
      </c>
      <c r="D42" s="135" t="s">
        <v>6</v>
      </c>
      <c r="E42" s="195">
        <v>0.1338180389074474</v>
      </c>
      <c r="F42" s="139">
        <v>28.851169188445656</v>
      </c>
      <c r="G42" s="163">
        <f>'1.3-14 Preis je lfdm'!$L$5</f>
        <v>865.88484230055656</v>
      </c>
      <c r="H42" s="182">
        <f t="shared" ref="H42:H45" si="4">G42*F42</f>
        <v>24981.790082923944</v>
      </c>
    </row>
    <row r="43" spans="1:8">
      <c r="A43" s="132" t="s">
        <v>147</v>
      </c>
      <c r="B43" s="133" t="s">
        <v>133</v>
      </c>
      <c r="C43" s="134">
        <v>126.3</v>
      </c>
      <c r="D43" s="135" t="s">
        <v>6</v>
      </c>
      <c r="E43" s="195">
        <v>0.1338180389074474</v>
      </c>
      <c r="F43" s="139">
        <v>16.901218314010606</v>
      </c>
      <c r="G43" s="163">
        <f>'1.3-14 Preis je lfdm'!$L$7</f>
        <v>218.37660332541563</v>
      </c>
      <c r="H43" s="182">
        <f t="shared" si="4"/>
        <v>3690.8306474749443</v>
      </c>
    </row>
    <row r="44" spans="1:8">
      <c r="A44" s="132" t="s">
        <v>148</v>
      </c>
      <c r="B44" s="133" t="s">
        <v>134</v>
      </c>
      <c r="C44" s="134">
        <v>78</v>
      </c>
      <c r="D44" s="135" t="s">
        <v>6</v>
      </c>
      <c r="E44" s="195">
        <v>0.1338180389074474</v>
      </c>
      <c r="F44" s="139">
        <v>10.437807034780898</v>
      </c>
      <c r="G44" s="163">
        <f>'1.3-14 Preis je lfdm'!L$9</f>
        <v>223.09338461538459</v>
      </c>
      <c r="H44" s="182">
        <f t="shared" si="4"/>
        <v>2328.6056993515417</v>
      </c>
    </row>
    <row r="45" spans="1:8">
      <c r="A45" s="132" t="s">
        <v>148</v>
      </c>
      <c r="B45" s="133" t="s">
        <v>212</v>
      </c>
      <c r="C45" s="134">
        <v>110.2</v>
      </c>
      <c r="D45" s="135" t="s">
        <v>6</v>
      </c>
      <c r="E45" s="203" t="s">
        <v>131</v>
      </c>
      <c r="F45" s="137">
        <v>551</v>
      </c>
      <c r="G45" s="163">
        <f>'1.3-14 Preis je lfdm'!$L$11</f>
        <v>353.71999999999997</v>
      </c>
      <c r="H45" s="182">
        <f t="shared" si="4"/>
        <v>194899.71999999997</v>
      </c>
    </row>
    <row r="46" spans="1:8">
      <c r="A46" s="143"/>
      <c r="B46" s="144" t="s">
        <v>135</v>
      </c>
      <c r="C46" s="145">
        <f>SUM(C41:C45)</f>
        <v>619.1</v>
      </c>
      <c r="D46" s="146" t="s">
        <v>6</v>
      </c>
      <c r="E46" s="199"/>
      <c r="F46" s="200">
        <f>SUM(F41:F45)</f>
        <v>619.1</v>
      </c>
      <c r="G46" s="186"/>
      <c r="H46" s="183">
        <f>SUM(H41:H45)</f>
        <v>228479.41931243855</v>
      </c>
    </row>
    <row r="48" spans="1:8">
      <c r="E48" t="s">
        <v>167</v>
      </c>
      <c r="H48" s="17">
        <f>MIN(H9,H18,H27,H37,H46)</f>
        <v>135196.95511876483</v>
      </c>
    </row>
    <row r="49" spans="4:8">
      <c r="E49" t="s">
        <v>168</v>
      </c>
      <c r="H49" s="17">
        <f>MAX(H9,H18,H27,H37,H46)</f>
        <v>536069.30586827453</v>
      </c>
    </row>
    <row r="51" spans="4:8" s="122" customFormat="1" ht="15">
      <c r="D51" s="187"/>
      <c r="G51" s="191" t="s">
        <v>166</v>
      </c>
      <c r="H51" s="110">
        <f>H49-H48</f>
        <v>400872.3507495097</v>
      </c>
    </row>
  </sheetData>
  <sheetProtection algorithmName="SHA-512" hashValue="h+THXV7ncynxn27wXhqzYjdFoGjNC5+jZVfYQQQgz+hmvvGKhaWQgQA2diQU1YrBmzRLBpTw39OzQDBasCeAjg==" saltValue="ra0oD0wBlzmQeuYTQoxU9A==" spinCount="100000" sheet="1" objects="1" scenarios="1" selectLockedCells="1" selectUnlockedCells="1"/>
  <mergeCells count="5">
    <mergeCell ref="E2:H2"/>
    <mergeCell ref="E11:H11"/>
    <mergeCell ref="E20:H20"/>
    <mergeCell ref="E30:H30"/>
    <mergeCell ref="E39:H39"/>
  </mergeCells>
  <pageMargins left="0.70866141732283472" right="0.70866141732283472" top="0.78740157480314965" bottom="0.78740157480314965" header="0.31496062992125984" footer="0.31496062992125984"/>
  <pageSetup paperSize="9" firstPageNumber="11" fitToHeight="0" orientation="landscape" useFirstPageNumber="1" r:id="rId1"/>
  <headerFooter scaleWithDoc="0">
    <oddHeader>&amp;L&amp;"Arial,Fett"&amp;10Bieterangaben Robustheit Tunnel Kauerndorf
Unterlage &amp;A&amp;R&amp;9.....................................................
Bieter</oddHeader>
    <oddFooter>&amp;R&amp;P von &amp;N</oddFooter>
    <firstFooter>&amp;R&amp;P</firstFooter>
  </headerFooter>
  <rowBreaks count="1" manualBreakCount="1">
    <brk id="28"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56A16-87C5-4369-A42F-735737600314}">
  <sheetPr>
    <tabColor theme="6"/>
  </sheetPr>
  <dimension ref="A1:I22"/>
  <sheetViews>
    <sheetView tabSelected="1" view="pageBreakPreview" zoomScale="115" zoomScaleNormal="100" zoomScaleSheetLayoutView="115" workbookViewId="0">
      <selection activeCell="L21" sqref="L21:M21"/>
    </sheetView>
  </sheetViews>
  <sheetFormatPr baseColWidth="10" defaultRowHeight="14.25"/>
  <cols>
    <col min="1" max="1" width="28.875" customWidth="1"/>
    <col min="2" max="4" width="12.625" bestFit="1" customWidth="1"/>
    <col min="6" max="6" width="2" customWidth="1"/>
  </cols>
  <sheetData>
    <row r="1" spans="1:5">
      <c r="A1" s="149" t="s">
        <v>150</v>
      </c>
      <c r="B1" s="149"/>
    </row>
    <row r="3" spans="1:5">
      <c r="A3" s="150" t="s">
        <v>151</v>
      </c>
      <c r="B3" s="149"/>
      <c r="C3" s="149"/>
      <c r="D3" s="149"/>
      <c r="E3" s="149"/>
    </row>
    <row r="4" spans="1:5">
      <c r="A4" s="149"/>
      <c r="B4" s="149"/>
      <c r="C4" s="149"/>
      <c r="D4" s="149"/>
      <c r="E4" s="149"/>
    </row>
    <row r="5" spans="1:5" ht="15">
      <c r="A5" s="149" t="s">
        <v>152</v>
      </c>
      <c r="B5" s="151" t="s">
        <v>153</v>
      </c>
      <c r="C5" s="243">
        <v>9000000</v>
      </c>
      <c r="D5" s="153">
        <v>10</v>
      </c>
      <c r="E5" s="149" t="s">
        <v>154</v>
      </c>
    </row>
    <row r="6" spans="1:5" ht="15">
      <c r="A6" s="149" t="s">
        <v>155</v>
      </c>
      <c r="B6" s="151" t="s">
        <v>156</v>
      </c>
      <c r="C6" s="243">
        <f>C5*2</f>
        <v>18000000</v>
      </c>
      <c r="D6" s="153">
        <v>0</v>
      </c>
      <c r="E6" s="149" t="s">
        <v>154</v>
      </c>
    </row>
    <row r="7" spans="1:5">
      <c r="A7" s="149"/>
      <c r="B7" s="149"/>
      <c r="C7" s="149"/>
      <c r="D7" s="149"/>
      <c r="E7" s="149"/>
    </row>
    <row r="8" spans="1:5">
      <c r="A8" s="149" t="s">
        <v>157</v>
      </c>
      <c r="B8" s="149"/>
      <c r="C8" s="149"/>
      <c r="D8" s="149"/>
      <c r="E8" s="149"/>
    </row>
    <row r="9" spans="1:5">
      <c r="A9" s="154" t="s">
        <v>158</v>
      </c>
      <c r="B9" s="154" t="s">
        <v>159</v>
      </c>
      <c r="C9" s="154" t="s">
        <v>160</v>
      </c>
      <c r="D9" s="155"/>
      <c r="E9" s="149"/>
    </row>
    <row r="10" spans="1:5" ht="15" thickBot="1">
      <c r="A10" s="156" t="s">
        <v>163</v>
      </c>
      <c r="B10" s="157">
        <f>'1.3-15 Wertungssummen'!H48</f>
        <v>135196.95511876483</v>
      </c>
      <c r="C10" s="157">
        <f>'1.3-15 Wertungssummen'!H49</f>
        <v>536069.30586827453</v>
      </c>
      <c r="D10" s="158"/>
      <c r="E10" s="149"/>
    </row>
    <row r="11" spans="1:5" ht="15.75" thickBot="1">
      <c r="A11" s="149"/>
      <c r="B11" s="152"/>
      <c r="C11" s="152"/>
      <c r="D11" s="204">
        <f>C10-B10</f>
        <v>400872.3507495097</v>
      </c>
      <c r="E11" s="205" t="s">
        <v>213</v>
      </c>
    </row>
    <row r="12" spans="1:5">
      <c r="A12" s="149"/>
      <c r="B12" s="149"/>
      <c r="C12" s="149"/>
      <c r="D12" s="149"/>
      <c r="E12" s="149"/>
    </row>
    <row r="13" spans="1:5">
      <c r="A13" s="159" t="s">
        <v>161</v>
      </c>
      <c r="B13" s="149"/>
      <c r="C13" s="149"/>
      <c r="D13" s="149"/>
      <c r="E13" s="149"/>
    </row>
    <row r="14" spans="1:5" ht="15">
      <c r="A14" s="160" t="s">
        <v>169</v>
      </c>
      <c r="B14" s="160"/>
      <c r="C14" s="149"/>
      <c r="D14" s="161">
        <f>IF(D11&lt;C5,D5,IF(D11&gt;C6,D6,(C6-D11)/(C6-C5)*D5))</f>
        <v>10</v>
      </c>
      <c r="E14" s="160" t="s">
        <v>162</v>
      </c>
    </row>
    <row r="15" spans="1:5">
      <c r="A15" s="149"/>
      <c r="B15" s="149"/>
      <c r="C15" s="149"/>
      <c r="D15" s="149"/>
      <c r="E15" s="149"/>
    </row>
    <row r="17" spans="8:9">
      <c r="H17" t="s">
        <v>207</v>
      </c>
      <c r="I17" t="s">
        <v>208</v>
      </c>
    </row>
    <row r="18" spans="8:9" ht="15">
      <c r="H18" s="188" t="s">
        <v>206</v>
      </c>
      <c r="I18" t="s">
        <v>205</v>
      </c>
    </row>
    <row r="19" spans="8:9">
      <c r="H19" s="190">
        <v>0</v>
      </c>
      <c r="I19" s="189">
        <v>10</v>
      </c>
    </row>
    <row r="20" spans="8:9">
      <c r="H20" s="190">
        <f>C5</f>
        <v>9000000</v>
      </c>
      <c r="I20" s="189">
        <v>10</v>
      </c>
    </row>
    <row r="21" spans="8:9">
      <c r="H21" s="190">
        <f>C6</f>
        <v>18000000</v>
      </c>
      <c r="I21" s="189">
        <v>0</v>
      </c>
    </row>
    <row r="22" spans="8:9">
      <c r="H22" s="190">
        <f>ROUNDUP(C6,-7)*1.1</f>
        <v>22000000</v>
      </c>
      <c r="I22" s="189">
        <v>0</v>
      </c>
    </row>
  </sheetData>
  <sheetProtection algorithmName="SHA-512" hashValue="wCJqFxCkt0X4bHsefnrj6QL+pbS0lDorzNkkmZQdTOpVzOU4R7Rg2aplMwf5uVfzK7i+nDfstMtN0wNkdIOsuQ==" saltValue="Prwf74bop3nTjfNEmBUgfw==" spinCount="100000" sheet="1" objects="1" scenarios="1" selectLockedCells="1" selectUnlockedCells="1"/>
  <pageMargins left="0.70866141732283472" right="0.70866141732283472" top="0.78740157480314965" bottom="0.78740157480314965" header="0.31496062992125984" footer="0.31496062992125984"/>
  <pageSetup paperSize="9" scale="89" firstPageNumber="13" orientation="portrait" useFirstPageNumber="1" r:id="rId1"/>
  <headerFooter scaleWithDoc="0">
    <oddHeader>&amp;L&amp;"Arial,Fett"&amp;10Bieterangaben Robustheit Tunnel Kauerndorf
Unterlage &amp;A&amp;R&amp;9.....................................................
Bieter</oddHeader>
    <oddFooter>&amp;R&amp;P von &amp;N</oddFooter>
    <firstFooter>&amp;R&amp;P</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b67455-c1e3-4c7d-a605-b5bd587fda04" xsi:nil="true"/>
    <lcf76f155ced4ddcb4097134ff3c332f xmlns="5cc271f2-fb14-49a0-9c1f-bf9cb95787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52BF5344D6C074685322949FC27D50F" ma:contentTypeVersion="15" ma:contentTypeDescription="Ein neues Dokument erstellen." ma:contentTypeScope="" ma:versionID="b0fba7370c791b1c182b3826ffef7bd4">
  <xsd:schema xmlns:xsd="http://www.w3.org/2001/XMLSchema" xmlns:xs="http://www.w3.org/2001/XMLSchema" xmlns:p="http://schemas.microsoft.com/office/2006/metadata/properties" xmlns:ns2="5cc271f2-fb14-49a0-9c1f-bf9cb9578716" xmlns:ns3="dcb67455-c1e3-4c7d-a605-b5bd587fda04" targetNamespace="http://schemas.microsoft.com/office/2006/metadata/properties" ma:root="true" ma:fieldsID="4dbfd1b71ded14320e657b21d1feef94" ns2:_="" ns3:_="">
    <xsd:import namespace="5cc271f2-fb14-49a0-9c1f-bf9cb9578716"/>
    <xsd:import namespace="dcb67455-c1e3-4c7d-a605-b5bd587fda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c271f2-fb14-49a0-9c1f-bf9cb95787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e3002122-e8da-4dd8-a4f2-a1ead54d750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b67455-c1e3-4c7d-a605-b5bd587fda0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abe1d21-29a7-40e8-a8d9-81581a7a24ed}" ma:internalName="TaxCatchAll" ma:showField="CatchAllData" ma:web="dcb67455-c1e3-4c7d-a605-b5bd587fda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C2035-BC33-4F82-994A-2B4A31D4D395}">
  <ds:schemaRefs>
    <ds:schemaRef ds:uri="http://schemas.microsoft.com/sharepoint/v3/contenttype/forms"/>
  </ds:schemaRefs>
</ds:datastoreItem>
</file>

<file path=customXml/itemProps2.xml><?xml version="1.0" encoding="utf-8"?>
<ds:datastoreItem xmlns:ds="http://schemas.openxmlformats.org/officeDocument/2006/customXml" ds:itemID="{F15E1F71-7F8A-490F-8F98-3D4EB810B1B0}">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cb67455-c1e3-4c7d-a605-b5bd587fda04"/>
    <ds:schemaRef ds:uri="5cc271f2-fb14-49a0-9c1f-bf9cb9578716"/>
    <ds:schemaRef ds:uri="http://www.w3.org/XML/1998/namespace"/>
    <ds:schemaRef ds:uri="http://purl.org/dc/dcmitype/"/>
  </ds:schemaRefs>
</ds:datastoreItem>
</file>

<file path=customXml/itemProps3.xml><?xml version="1.0" encoding="utf-8"?>
<ds:datastoreItem xmlns:ds="http://schemas.openxmlformats.org/officeDocument/2006/customXml" ds:itemID="{6967F9B5-5985-4BBF-8D52-34607F72D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c271f2-fb14-49a0-9c1f-bf9cb9578716"/>
    <ds:schemaRef ds:uri="dcb67455-c1e3-4c7d-a605-b5bd587fd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13</vt:i4>
      </vt:variant>
    </vt:vector>
  </HeadingPairs>
  <TitlesOfParts>
    <vt:vector size="20" baseType="lpstr">
      <vt:lpstr>1.3-10 Allgemeines</vt:lpstr>
      <vt:lpstr>1.3-11 Länge Wertung</vt:lpstr>
      <vt:lpstr>1.3-12 Kalotte HR Kosten</vt:lpstr>
      <vt:lpstr>1.3-13 Str_So HR Kosten</vt:lpstr>
      <vt:lpstr>1.3-14 Preis je lfdm</vt:lpstr>
      <vt:lpstr>1.3-15 Wertungssummen</vt:lpstr>
      <vt:lpstr>1.3-16 Wertungspunkte</vt:lpstr>
      <vt:lpstr>'1.3-10 Allgemeines'!Druckbereich</vt:lpstr>
      <vt:lpstr>'1.3-11 Länge Wertung'!Druckbereich</vt:lpstr>
      <vt:lpstr>'1.3-12 Kalotte HR Kosten'!Druckbereich</vt:lpstr>
      <vt:lpstr>'1.3-13 Str_So HR Kosten'!Druckbereich</vt:lpstr>
      <vt:lpstr>'1.3-14 Preis je lfdm'!Druckbereich</vt:lpstr>
      <vt:lpstr>'1.3-15 Wertungssummen'!Druckbereich</vt:lpstr>
      <vt:lpstr>'1.3-16 Wertungspunkte'!Druckbereich</vt:lpstr>
      <vt:lpstr>'1.3-12 Kalotte HR Kosten'!Drucktitel</vt:lpstr>
      <vt:lpstr>'1.3-13 Str_So HR Kosten'!Drucktitel</vt:lpstr>
      <vt:lpstr>'1.3-12 Kalotte HR Kosten'!Print_Area</vt:lpstr>
      <vt:lpstr>'1.3-13 Str_So HR Kosten'!Print_Area</vt:lpstr>
      <vt:lpstr>'1.3-12 Kalotte HR Kosten'!Print_Titles</vt:lpstr>
      <vt:lpstr>'1.3-13 Str_So HR Kosten'!Print_Titles</vt:lpstr>
    </vt:vector>
  </TitlesOfParts>
  <Company>BUNG Baumanagement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 Kauerndorf, LPH6</dc:title>
  <dc:subject>Robustheit</dc:subject>
  <dc:creator>Maria FRANZLER</dc:creator>
  <cp:lastModifiedBy>Gorges, Frank</cp:lastModifiedBy>
  <cp:lastPrinted>2025-12-09T16:42:37Z</cp:lastPrinted>
  <dcterms:created xsi:type="dcterms:W3CDTF">2015-09-02T08:39:42Z</dcterms:created>
  <dcterms:modified xsi:type="dcterms:W3CDTF">2025-12-10T14:10:43Z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0x010100552BF5344D6C074685322949FC27D50F</vt:lpwstr>
  </property>
  <property fmtid="{D5CDD505-2E9C-101B-9397-08002B2CF9AE}" pid="3" name="MediaServiceImageTags">
    <vt:lpwstr/>
  </property>
</Properties>
</file>